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firstSheet="1" activeTab="4"/>
  </bookViews>
  <sheets>
    <sheet name="Смета2019_290419" sheetId="1" r:id="rId1"/>
    <sheet name="Смета2019_290419 (СОИР_29.4)" sheetId="5" r:id="rId2"/>
    <sheet name="Смета2019_290419(ТО котельных )" sheetId="6" r:id="rId3"/>
    <sheet name="Смета2019_290419(Фонд текущего)" sheetId="8" r:id="rId4"/>
    <sheet name="Смета 2019 к голосованию" sheetId="10" r:id="rId5"/>
    <sheet name="Смета2019 эксперим" sheetId="2" state="hidden" r:id="rId6"/>
  </sheets>
  <definedNames>
    <definedName name="_xlnm._FilterDatabase" localSheetId="5" hidden="1">'Смета2019 эксперим'!$A$24:$K$97</definedName>
    <definedName name="_xlnm._FilterDatabase" localSheetId="0" hidden="1">Смета2019_290419!$A$25:$M$99</definedName>
    <definedName name="_xlnm._FilterDatabase" localSheetId="1" hidden="1">'Смета2019_290419 (СОИР_29.4)'!$A$26:$U$99</definedName>
    <definedName name="_xlnm._FilterDatabase" localSheetId="2" hidden="1">'Смета2019_290419(ТО котельных )'!$A$25:$M$99</definedName>
    <definedName name="_xlnm._FilterDatabase" localSheetId="3" hidden="1">'Смета2019_290419(Фонд текущего)'!$A$26:$U$99</definedName>
  </definedName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/>
  <c r="F17"/>
  <c r="G8"/>
  <c r="D72" i="8"/>
  <c r="G72"/>
  <c r="G96" l="1"/>
  <c r="G90"/>
  <c r="G84"/>
  <c r="G77"/>
  <c r="G75"/>
  <c r="G63"/>
  <c r="G28" i="6"/>
  <c r="G29"/>
  <c r="G30"/>
  <c r="G31"/>
  <c r="G32"/>
  <c r="G39"/>
  <c r="G41"/>
  <c r="G42"/>
  <c r="G43"/>
  <c r="G27"/>
  <c r="G97" i="5"/>
  <c r="G95"/>
  <c r="G94"/>
  <c r="G93"/>
  <c r="G92"/>
  <c r="G91"/>
  <c r="G89"/>
  <c r="G88"/>
  <c r="G87"/>
  <c r="G86"/>
  <c r="G83"/>
  <c r="G82"/>
  <c r="G80"/>
  <c r="G76"/>
  <c r="G58"/>
  <c r="G59"/>
  <c r="G61"/>
  <c r="G62"/>
  <c r="G57"/>
  <c r="G35" i="10" l="1"/>
  <c r="H35"/>
  <c r="H49"/>
  <c r="G49"/>
  <c r="H53"/>
  <c r="G53"/>
  <c r="G50"/>
  <c r="H50"/>
  <c r="H33"/>
  <c r="H54" s="1"/>
  <c r="G33"/>
  <c r="H31"/>
  <c r="G31"/>
  <c r="G32"/>
  <c r="H32"/>
  <c r="F56" l="1"/>
  <c r="F31"/>
  <c r="F34"/>
  <c r="F35"/>
  <c r="H43"/>
  <c r="G43"/>
  <c r="H51"/>
  <c r="G51"/>
  <c r="G54"/>
  <c r="F50"/>
  <c r="F53"/>
  <c r="F55"/>
  <c r="H30"/>
  <c r="H52" s="1"/>
  <c r="G30"/>
  <c r="G52" s="1"/>
  <c r="H29"/>
  <c r="G29"/>
  <c r="H28"/>
  <c r="G28"/>
  <c r="F28" l="1"/>
  <c r="F29"/>
  <c r="F30"/>
  <c r="F49"/>
  <c r="F51"/>
  <c r="F52"/>
  <c r="H10" l="1"/>
  <c r="G10"/>
  <c r="G27" s="1"/>
  <c r="G36"/>
  <c r="F36"/>
  <c r="H23" l="1"/>
  <c r="H25"/>
  <c r="H47" s="1"/>
  <c r="H24"/>
  <c r="H46" s="1"/>
  <c r="H27"/>
  <c r="F27" s="1"/>
  <c r="G25"/>
  <c r="G24"/>
  <c r="G23"/>
  <c r="G47" l="1"/>
  <c r="F25"/>
  <c r="H45"/>
  <c r="H44" s="1"/>
  <c r="H22"/>
  <c r="G22"/>
  <c r="G40" s="1"/>
  <c r="G45"/>
  <c r="F23"/>
  <c r="F12" s="1"/>
  <c r="G46"/>
  <c r="F24"/>
  <c r="M23" i="1"/>
  <c r="D23"/>
  <c r="D55"/>
  <c r="D77"/>
  <c r="F47" i="10" l="1"/>
  <c r="F14"/>
  <c r="F46"/>
  <c r="F13"/>
  <c r="G44"/>
  <c r="G57" s="1"/>
  <c r="F22"/>
  <c r="F45"/>
  <c r="C218" i="8"/>
  <c r="E218" s="1"/>
  <c r="D217"/>
  <c r="E217" s="1"/>
  <c r="F217" s="1"/>
  <c r="E216"/>
  <c r="F216" s="1"/>
  <c r="D216"/>
  <c r="D215"/>
  <c r="E215" s="1"/>
  <c r="F215" s="1"/>
  <c r="F214"/>
  <c r="E214"/>
  <c r="E213" s="1"/>
  <c r="D214"/>
  <c r="D213" s="1"/>
  <c r="F213"/>
  <c r="F211"/>
  <c r="E211"/>
  <c r="D211"/>
  <c r="D209"/>
  <c r="E209" s="1"/>
  <c r="F209" s="1"/>
  <c r="F208"/>
  <c r="E208"/>
  <c r="D208"/>
  <c r="D200"/>
  <c r="E200" s="1"/>
  <c r="D199"/>
  <c r="E199" s="1"/>
  <c r="F199" s="1"/>
  <c r="D198"/>
  <c r="E198" s="1"/>
  <c r="F198" s="1"/>
  <c r="F197"/>
  <c r="F196" s="1"/>
  <c r="E197"/>
  <c r="E196" s="1"/>
  <c r="D197"/>
  <c r="D196" s="1"/>
  <c r="F194"/>
  <c r="E194"/>
  <c r="D194"/>
  <c r="D192"/>
  <c r="E192" s="1"/>
  <c r="F192" s="1"/>
  <c r="F191"/>
  <c r="E191"/>
  <c r="D191"/>
  <c r="I130"/>
  <c r="I131" s="1"/>
  <c r="D120"/>
  <c r="I119"/>
  <c r="G119"/>
  <c r="D116"/>
  <c r="D114" s="1"/>
  <c r="D115"/>
  <c r="D113"/>
  <c r="D112"/>
  <c r="I111"/>
  <c r="G111"/>
  <c r="I110"/>
  <c r="G110"/>
  <c r="I109"/>
  <c r="G109"/>
  <c r="D109"/>
  <c r="D126" s="1"/>
  <c r="I108"/>
  <c r="G108"/>
  <c r="I107"/>
  <c r="G107"/>
  <c r="I106"/>
  <c r="G106"/>
  <c r="D104"/>
  <c r="D107" s="1"/>
  <c r="E102"/>
  <c r="G97"/>
  <c r="I97" s="1"/>
  <c r="E97"/>
  <c r="I96"/>
  <c r="E96"/>
  <c r="G95"/>
  <c r="I95" s="1"/>
  <c r="E95"/>
  <c r="G94"/>
  <c r="I94" s="1"/>
  <c r="E94"/>
  <c r="G93"/>
  <c r="I93" s="1"/>
  <c r="E93"/>
  <c r="D93"/>
  <c r="G92"/>
  <c r="I92" s="1"/>
  <c r="E92"/>
  <c r="G91"/>
  <c r="E91"/>
  <c r="E90"/>
  <c r="D90"/>
  <c r="G89"/>
  <c r="I89" s="1"/>
  <c r="E89"/>
  <c r="G88"/>
  <c r="I88" s="1"/>
  <c r="E88"/>
  <c r="G87"/>
  <c r="I87" s="1"/>
  <c r="E87"/>
  <c r="G86"/>
  <c r="I86" s="1"/>
  <c r="E86"/>
  <c r="G85"/>
  <c r="D84"/>
  <c r="D83"/>
  <c r="G82"/>
  <c r="D82"/>
  <c r="G81"/>
  <c r="D80"/>
  <c r="F79"/>
  <c r="I77"/>
  <c r="D77"/>
  <c r="E77" s="1"/>
  <c r="D76"/>
  <c r="G76" s="1"/>
  <c r="I76" s="1"/>
  <c r="D75"/>
  <c r="G74"/>
  <c r="E74"/>
  <c r="G73"/>
  <c r="D73"/>
  <c r="E73" s="1"/>
  <c r="D23"/>
  <c r="E70"/>
  <c r="I68"/>
  <c r="E68"/>
  <c r="D63"/>
  <c r="G62"/>
  <c r="I62" s="1"/>
  <c r="E62"/>
  <c r="G61"/>
  <c r="E61"/>
  <c r="D60"/>
  <c r="E60" s="1"/>
  <c r="G59"/>
  <c r="I59" s="1"/>
  <c r="E59"/>
  <c r="D58"/>
  <c r="G57"/>
  <c r="D57"/>
  <c r="G55"/>
  <c r="I55" s="1"/>
  <c r="E55"/>
  <c r="G54"/>
  <c r="E54"/>
  <c r="G53"/>
  <c r="I53" s="1"/>
  <c r="E53"/>
  <c r="D52"/>
  <c r="G51"/>
  <c r="I51" s="1"/>
  <c r="E51"/>
  <c r="G50"/>
  <c r="I50" s="1"/>
  <c r="E50"/>
  <c r="D49"/>
  <c r="G49" s="1"/>
  <c r="E47"/>
  <c r="E46"/>
  <c r="E45" s="1"/>
  <c r="D46"/>
  <c r="G46" s="1"/>
  <c r="G45"/>
  <c r="D45"/>
  <c r="G44"/>
  <c r="I44" s="1"/>
  <c r="E44"/>
  <c r="I43"/>
  <c r="D43" s="1"/>
  <c r="E43" s="1"/>
  <c r="G42"/>
  <c r="D42"/>
  <c r="E41"/>
  <c r="E40"/>
  <c r="D40"/>
  <c r="G40" s="1"/>
  <c r="I40" s="1"/>
  <c r="D39"/>
  <c r="E39" s="1"/>
  <c r="D38"/>
  <c r="E38" s="1"/>
  <c r="I37"/>
  <c r="E37"/>
  <c r="I36"/>
  <c r="D36" s="1"/>
  <c r="E36" s="1"/>
  <c r="G35"/>
  <c r="E35"/>
  <c r="I34"/>
  <c r="E34"/>
  <c r="G33"/>
  <c r="I33" s="1"/>
  <c r="E33"/>
  <c r="G32"/>
  <c r="I32" s="1"/>
  <c r="E32"/>
  <c r="G31"/>
  <c r="I31" s="1"/>
  <c r="E31"/>
  <c r="G30"/>
  <c r="I30" s="1"/>
  <c r="E30"/>
  <c r="G29"/>
  <c r="I29" s="1"/>
  <c r="E29"/>
  <c r="G28"/>
  <c r="I28" s="1"/>
  <c r="E28"/>
  <c r="H11"/>
  <c r="G11"/>
  <c r="G12" s="1"/>
  <c r="F11"/>
  <c r="F10"/>
  <c r="F217" i="6"/>
  <c r="C217"/>
  <c r="E217" s="1"/>
  <c r="D216"/>
  <c r="E216" s="1"/>
  <c r="F216" s="1"/>
  <c r="D215"/>
  <c r="E215" s="1"/>
  <c r="F215" s="1"/>
  <c r="D214"/>
  <c r="E214" s="1"/>
  <c r="F214" s="1"/>
  <c r="F213"/>
  <c r="F212" s="1"/>
  <c r="E213"/>
  <c r="E212" s="1"/>
  <c r="D213"/>
  <c r="D212" s="1"/>
  <c r="F210"/>
  <c r="E210"/>
  <c r="D210"/>
  <c r="D208"/>
  <c r="E208" s="1"/>
  <c r="F208" s="1"/>
  <c r="F207"/>
  <c r="E207"/>
  <c r="D207"/>
  <c r="E199"/>
  <c r="D199"/>
  <c r="D198"/>
  <c r="E198" s="1"/>
  <c r="F198" s="1"/>
  <c r="D197"/>
  <c r="E197" s="1"/>
  <c r="F197" s="1"/>
  <c r="F196"/>
  <c r="F195" s="1"/>
  <c r="E196"/>
  <c r="E195" s="1"/>
  <c r="D196"/>
  <c r="D195" s="1"/>
  <c r="F193"/>
  <c r="E193"/>
  <c r="D193"/>
  <c r="D191"/>
  <c r="E191" s="1"/>
  <c r="F191" s="1"/>
  <c r="F190"/>
  <c r="E190"/>
  <c r="D190"/>
  <c r="I129"/>
  <c r="I130" s="1"/>
  <c r="D119"/>
  <c r="I118"/>
  <c r="G118"/>
  <c r="D115"/>
  <c r="D113" s="1"/>
  <c r="D114"/>
  <c r="D112"/>
  <c r="D111"/>
  <c r="I110"/>
  <c r="D110" s="1"/>
  <c r="G110"/>
  <c r="I109"/>
  <c r="G109"/>
  <c r="I108"/>
  <c r="G108"/>
  <c r="D108" s="1"/>
  <c r="D125" s="1"/>
  <c r="I107"/>
  <c r="G107"/>
  <c r="D107" s="1"/>
  <c r="I106"/>
  <c r="G106"/>
  <c r="I105"/>
  <c r="G105"/>
  <c r="D103"/>
  <c r="D106" s="1"/>
  <c r="E101"/>
  <c r="G96"/>
  <c r="I96" s="1"/>
  <c r="E96"/>
  <c r="G95"/>
  <c r="I95" s="1"/>
  <c r="E95"/>
  <c r="G94"/>
  <c r="I94" s="1"/>
  <c r="E94"/>
  <c r="I93"/>
  <c r="G93"/>
  <c r="E93"/>
  <c r="D92"/>
  <c r="I91"/>
  <c r="G91"/>
  <c r="E91"/>
  <c r="G90"/>
  <c r="E90"/>
  <c r="D89"/>
  <c r="E89" s="1"/>
  <c r="G88"/>
  <c r="I88" s="1"/>
  <c r="E88"/>
  <c r="G87"/>
  <c r="I87" s="1"/>
  <c r="E87"/>
  <c r="G86"/>
  <c r="I86" s="1"/>
  <c r="E86"/>
  <c r="G85"/>
  <c r="I85" s="1"/>
  <c r="E85"/>
  <c r="G84"/>
  <c r="G83"/>
  <c r="D83"/>
  <c r="D81"/>
  <c r="D82" s="1"/>
  <c r="G80"/>
  <c r="G79"/>
  <c r="D79"/>
  <c r="E79" s="1"/>
  <c r="F78"/>
  <c r="D76"/>
  <c r="D75"/>
  <c r="E75" s="1"/>
  <c r="D74"/>
  <c r="G73"/>
  <c r="E73"/>
  <c r="G72"/>
  <c r="D72"/>
  <c r="E72" s="1"/>
  <c r="G71"/>
  <c r="E71"/>
  <c r="D71"/>
  <c r="E69"/>
  <c r="I67"/>
  <c r="E67"/>
  <c r="D62"/>
  <c r="G61"/>
  <c r="I61" s="1"/>
  <c r="E61"/>
  <c r="G60"/>
  <c r="E60"/>
  <c r="D59"/>
  <c r="E59" s="1"/>
  <c r="G58"/>
  <c r="I58" s="1"/>
  <c r="E58"/>
  <c r="D57"/>
  <c r="D56"/>
  <c r="E56" s="1"/>
  <c r="G54"/>
  <c r="I54" s="1"/>
  <c r="E54"/>
  <c r="G53"/>
  <c r="E53"/>
  <c r="G52"/>
  <c r="I52" s="1"/>
  <c r="E52"/>
  <c r="D51"/>
  <c r="G50"/>
  <c r="I50" s="1"/>
  <c r="E50"/>
  <c r="G49"/>
  <c r="I49" s="1"/>
  <c r="E49"/>
  <c r="D48"/>
  <c r="E46"/>
  <c r="D45"/>
  <c r="I43"/>
  <c r="E43"/>
  <c r="I42"/>
  <c r="D42" s="1"/>
  <c r="E42" s="1"/>
  <c r="E41"/>
  <c r="D41"/>
  <c r="I41" s="1"/>
  <c r="E40"/>
  <c r="D39"/>
  <c r="D37"/>
  <c r="E37" s="1"/>
  <c r="I36"/>
  <c r="E36"/>
  <c r="I35"/>
  <c r="D35" s="1"/>
  <c r="E34"/>
  <c r="I33"/>
  <c r="E33"/>
  <c r="I32"/>
  <c r="E32"/>
  <c r="I31"/>
  <c r="E31"/>
  <c r="I30"/>
  <c r="E30"/>
  <c r="I29"/>
  <c r="E29"/>
  <c r="I28"/>
  <c r="E28"/>
  <c r="I27"/>
  <c r="E27"/>
  <c r="H11"/>
  <c r="G11"/>
  <c r="G12" s="1"/>
  <c r="F11"/>
  <c r="F10"/>
  <c r="C218" i="5"/>
  <c r="E218" s="1"/>
  <c r="D217"/>
  <c r="E217" s="1"/>
  <c r="F217" s="1"/>
  <c r="D216"/>
  <c r="E216" s="1"/>
  <c r="F216" s="1"/>
  <c r="D215"/>
  <c r="E215" s="1"/>
  <c r="F215" s="1"/>
  <c r="F214"/>
  <c r="E214"/>
  <c r="E213" s="1"/>
  <c r="D214"/>
  <c r="D213" s="1"/>
  <c r="F213"/>
  <c r="F211"/>
  <c r="E211"/>
  <c r="D211"/>
  <c r="D209"/>
  <c r="E209" s="1"/>
  <c r="F209" s="1"/>
  <c r="F208"/>
  <c r="E208"/>
  <c r="D208"/>
  <c r="D200"/>
  <c r="E200" s="1"/>
  <c r="D199"/>
  <c r="E198"/>
  <c r="F198" s="1"/>
  <c r="D198"/>
  <c r="F197"/>
  <c r="F196" s="1"/>
  <c r="E197"/>
  <c r="E196" s="1"/>
  <c r="D197"/>
  <c r="D196" s="1"/>
  <c r="F194"/>
  <c r="E194"/>
  <c r="D194"/>
  <c r="D192"/>
  <c r="E192" s="1"/>
  <c r="F192" s="1"/>
  <c r="F191"/>
  <c r="E191"/>
  <c r="D191"/>
  <c r="I131"/>
  <c r="I130"/>
  <c r="D120"/>
  <c r="I119"/>
  <c r="G119"/>
  <c r="D116"/>
  <c r="D115"/>
  <c r="D114"/>
  <c r="I114" s="1"/>
  <c r="D113"/>
  <c r="D112"/>
  <c r="I111"/>
  <c r="G111"/>
  <c r="I110"/>
  <c r="G110"/>
  <c r="D110" s="1"/>
  <c r="I109"/>
  <c r="G109"/>
  <c r="D109" s="1"/>
  <c r="D126" s="1"/>
  <c r="I108"/>
  <c r="G108"/>
  <c r="I107"/>
  <c r="G107"/>
  <c r="I106"/>
  <c r="G106"/>
  <c r="D104"/>
  <c r="D107" s="1"/>
  <c r="E102"/>
  <c r="I97"/>
  <c r="E97"/>
  <c r="G96"/>
  <c r="I96" s="1"/>
  <c r="E96"/>
  <c r="I95"/>
  <c r="E95"/>
  <c r="I94"/>
  <c r="E94"/>
  <c r="D93"/>
  <c r="I92"/>
  <c r="E92"/>
  <c r="E91"/>
  <c r="D90"/>
  <c r="E90" s="1"/>
  <c r="I89"/>
  <c r="E89"/>
  <c r="I88"/>
  <c r="E88"/>
  <c r="I87"/>
  <c r="E87"/>
  <c r="I86"/>
  <c r="E86"/>
  <c r="G85"/>
  <c r="D84"/>
  <c r="E84" s="1"/>
  <c r="D82"/>
  <c r="E82" s="1"/>
  <c r="G81"/>
  <c r="D80"/>
  <c r="E80" s="1"/>
  <c r="F79"/>
  <c r="D77"/>
  <c r="D76"/>
  <c r="I76" s="1"/>
  <c r="D75"/>
  <c r="G74"/>
  <c r="E74"/>
  <c r="G73"/>
  <c r="E73"/>
  <c r="D73"/>
  <c r="G72"/>
  <c r="D72"/>
  <c r="E72" s="1"/>
  <c r="E70"/>
  <c r="I68"/>
  <c r="E68"/>
  <c r="D63"/>
  <c r="I62"/>
  <c r="E62"/>
  <c r="E61"/>
  <c r="I59"/>
  <c r="E59"/>
  <c r="D58"/>
  <c r="D57"/>
  <c r="G55"/>
  <c r="I55" s="1"/>
  <c r="E55"/>
  <c r="G54"/>
  <c r="E54"/>
  <c r="G53"/>
  <c r="I53" s="1"/>
  <c r="E53"/>
  <c r="D52"/>
  <c r="G51"/>
  <c r="I51" s="1"/>
  <c r="E51"/>
  <c r="G50"/>
  <c r="I50" s="1"/>
  <c r="E50"/>
  <c r="D49"/>
  <c r="E47"/>
  <c r="D46"/>
  <c r="G44"/>
  <c r="I44" s="1"/>
  <c r="E44"/>
  <c r="I43"/>
  <c r="D43" s="1"/>
  <c r="E43" s="1"/>
  <c r="D42"/>
  <c r="E42" s="1"/>
  <c r="E41"/>
  <c r="D40"/>
  <c r="D39"/>
  <c r="E39" s="1"/>
  <c r="D38"/>
  <c r="E38" s="1"/>
  <c r="I37"/>
  <c r="E37"/>
  <c r="I36"/>
  <c r="D36" s="1"/>
  <c r="G35"/>
  <c r="E35"/>
  <c r="I34"/>
  <c r="E34"/>
  <c r="G33"/>
  <c r="I33" s="1"/>
  <c r="E33"/>
  <c r="G32"/>
  <c r="I32" s="1"/>
  <c r="E32"/>
  <c r="G31"/>
  <c r="I31" s="1"/>
  <c r="E31"/>
  <c r="G30"/>
  <c r="I30" s="1"/>
  <c r="E30"/>
  <c r="G29"/>
  <c r="I29" s="1"/>
  <c r="E29"/>
  <c r="G28"/>
  <c r="I28" s="1"/>
  <c r="E28"/>
  <c r="H11"/>
  <c r="H12" s="1"/>
  <c r="G11"/>
  <c r="G12" s="1"/>
  <c r="F11"/>
  <c r="F10"/>
  <c r="F44" i="10" l="1"/>
  <c r="I114" i="8"/>
  <c r="G114"/>
  <c r="E72"/>
  <c r="F72" s="1"/>
  <c r="E76"/>
  <c r="E84"/>
  <c r="D119"/>
  <c r="K131"/>
  <c r="I80"/>
  <c r="J80" s="1"/>
  <c r="G102"/>
  <c r="G80"/>
  <c r="D108"/>
  <c r="D102" s="1"/>
  <c r="D110"/>
  <c r="F118" s="1"/>
  <c r="D124" s="1"/>
  <c r="F218"/>
  <c r="G51" i="6"/>
  <c r="G56"/>
  <c r="H56" s="1"/>
  <c r="G81"/>
  <c r="I83"/>
  <c r="E35"/>
  <c r="I113"/>
  <c r="G113"/>
  <c r="G75"/>
  <c r="I75" s="1"/>
  <c r="G89"/>
  <c r="I89" s="1"/>
  <c r="D101"/>
  <c r="E81"/>
  <c r="E83"/>
  <c r="D109"/>
  <c r="J29" i="5"/>
  <c r="J33"/>
  <c r="J44"/>
  <c r="H82"/>
  <c r="G42"/>
  <c r="I42" s="1"/>
  <c r="E76"/>
  <c r="G90"/>
  <c r="I90" s="1"/>
  <c r="J90" s="1"/>
  <c r="J30"/>
  <c r="J32"/>
  <c r="J34"/>
  <c r="G84"/>
  <c r="I84" s="1"/>
  <c r="J84" s="1"/>
  <c r="E36"/>
  <c r="D27"/>
  <c r="E57"/>
  <c r="D83"/>
  <c r="D78" s="1"/>
  <c r="D108"/>
  <c r="D102" s="1"/>
  <c r="G114"/>
  <c r="J51"/>
  <c r="J88"/>
  <c r="F218"/>
  <c r="D27" i="8"/>
  <c r="I49"/>
  <c r="I42"/>
  <c r="I63"/>
  <c r="G52" i="5"/>
  <c r="G52" i="8"/>
  <c r="G27"/>
  <c r="I82"/>
  <c r="J82" s="1"/>
  <c r="H92"/>
  <c r="H70"/>
  <c r="H68"/>
  <c r="H96"/>
  <c r="H94"/>
  <c r="H41"/>
  <c r="H38"/>
  <c r="H35"/>
  <c r="H36"/>
  <c r="H89"/>
  <c r="H87"/>
  <c r="H47"/>
  <c r="H60"/>
  <c r="H39"/>
  <c r="H33"/>
  <c r="H31"/>
  <c r="H29"/>
  <c r="H50"/>
  <c r="H46"/>
  <c r="H37"/>
  <c r="H34"/>
  <c r="H44"/>
  <c r="I27"/>
  <c r="H30"/>
  <c r="H32"/>
  <c r="F38"/>
  <c r="H40"/>
  <c r="H28"/>
  <c r="F33"/>
  <c r="H62"/>
  <c r="I91"/>
  <c r="H91"/>
  <c r="H12"/>
  <c r="J33" s="1"/>
  <c r="H42"/>
  <c r="I48"/>
  <c r="H49"/>
  <c r="G48"/>
  <c r="E52"/>
  <c r="I54"/>
  <c r="H54"/>
  <c r="G58"/>
  <c r="H58" s="1"/>
  <c r="E58"/>
  <c r="F58" s="1"/>
  <c r="H73"/>
  <c r="H75"/>
  <c r="E75"/>
  <c r="D64"/>
  <c r="H82"/>
  <c r="F96"/>
  <c r="D127"/>
  <c r="F200"/>
  <c r="J55"/>
  <c r="H63"/>
  <c r="H74"/>
  <c r="H84"/>
  <c r="H90"/>
  <c r="J96"/>
  <c r="E42"/>
  <c r="F42" s="1"/>
  <c r="I46"/>
  <c r="J50"/>
  <c r="H53"/>
  <c r="F55"/>
  <c r="I61"/>
  <c r="H61"/>
  <c r="F70"/>
  <c r="H72"/>
  <c r="H80"/>
  <c r="G83"/>
  <c r="I83" s="1"/>
  <c r="J83" s="1"/>
  <c r="E83"/>
  <c r="F83" s="1"/>
  <c r="D78"/>
  <c r="I84"/>
  <c r="I90"/>
  <c r="J90" s="1"/>
  <c r="H57"/>
  <c r="F73"/>
  <c r="F12"/>
  <c r="F35" s="1"/>
  <c r="F50"/>
  <c r="I52"/>
  <c r="H55"/>
  <c r="I57"/>
  <c r="F60"/>
  <c r="F62"/>
  <c r="F68"/>
  <c r="H76"/>
  <c r="J87"/>
  <c r="I102"/>
  <c r="D111"/>
  <c r="F117"/>
  <c r="D123" s="1"/>
  <c r="H51"/>
  <c r="D56"/>
  <c r="E57"/>
  <c r="H59"/>
  <c r="H77"/>
  <c r="E80"/>
  <c r="E82"/>
  <c r="F82" s="1"/>
  <c r="H86"/>
  <c r="H88"/>
  <c r="H93"/>
  <c r="H95"/>
  <c r="H97"/>
  <c r="D218"/>
  <c r="D48"/>
  <c r="E49"/>
  <c r="E63"/>
  <c r="H69" i="6"/>
  <c r="H36"/>
  <c r="H33"/>
  <c r="H96"/>
  <c r="H94"/>
  <c r="H87"/>
  <c r="H85"/>
  <c r="H73"/>
  <c r="H67"/>
  <c r="H58"/>
  <c r="H50"/>
  <c r="H43"/>
  <c r="H46"/>
  <c r="H40"/>
  <c r="H37"/>
  <c r="H88"/>
  <c r="H86"/>
  <c r="H59"/>
  <c r="H49"/>
  <c r="H35"/>
  <c r="H95"/>
  <c r="H93"/>
  <c r="H32"/>
  <c r="H30"/>
  <c r="H28"/>
  <c r="F37"/>
  <c r="H72"/>
  <c r="H12"/>
  <c r="J27" s="1"/>
  <c r="I60"/>
  <c r="H60"/>
  <c r="I79"/>
  <c r="H79"/>
  <c r="I81"/>
  <c r="H81"/>
  <c r="F89"/>
  <c r="I90"/>
  <c r="H90"/>
  <c r="F199"/>
  <c r="G45"/>
  <c r="I45" s="1"/>
  <c r="E45"/>
  <c r="D44"/>
  <c r="H54"/>
  <c r="G74"/>
  <c r="I74" s="1"/>
  <c r="E74"/>
  <c r="D63"/>
  <c r="D126"/>
  <c r="F117"/>
  <c r="D123" s="1"/>
  <c r="H27"/>
  <c r="H29"/>
  <c r="H31"/>
  <c r="H41"/>
  <c r="E51"/>
  <c r="I53"/>
  <c r="H53"/>
  <c r="I56"/>
  <c r="F61"/>
  <c r="G82"/>
  <c r="H82" s="1"/>
  <c r="E82"/>
  <c r="D77"/>
  <c r="H83"/>
  <c r="I101"/>
  <c r="F116"/>
  <c r="H71"/>
  <c r="H75"/>
  <c r="F79"/>
  <c r="F12"/>
  <c r="H34"/>
  <c r="H39"/>
  <c r="E39"/>
  <c r="H52"/>
  <c r="G57"/>
  <c r="H57" s="1"/>
  <c r="D55"/>
  <c r="E57"/>
  <c r="F57" s="1"/>
  <c r="H61"/>
  <c r="F71"/>
  <c r="F72"/>
  <c r="F75"/>
  <c r="H91"/>
  <c r="G101"/>
  <c r="D118"/>
  <c r="K130"/>
  <c r="G48"/>
  <c r="G62"/>
  <c r="H62" s="1"/>
  <c r="G76"/>
  <c r="H76" s="1"/>
  <c r="G92"/>
  <c r="H92" s="1"/>
  <c r="D217"/>
  <c r="D47"/>
  <c r="E48"/>
  <c r="E62"/>
  <c r="F62" s="1"/>
  <c r="E76"/>
  <c r="F76" s="1"/>
  <c r="E92"/>
  <c r="H70" i="5"/>
  <c r="H37"/>
  <c r="H95"/>
  <c r="H88"/>
  <c r="H86"/>
  <c r="H74"/>
  <c r="H68"/>
  <c r="H59"/>
  <c r="H51"/>
  <c r="H44"/>
  <c r="H47"/>
  <c r="H41"/>
  <c r="H38"/>
  <c r="H96"/>
  <c r="H34"/>
  <c r="H94"/>
  <c r="H32"/>
  <c r="H30"/>
  <c r="H87"/>
  <c r="H50"/>
  <c r="H39"/>
  <c r="H89"/>
  <c r="H36"/>
  <c r="H28"/>
  <c r="J74"/>
  <c r="J39"/>
  <c r="J73"/>
  <c r="J47"/>
  <c r="J43"/>
  <c r="J41"/>
  <c r="J60"/>
  <c r="J97"/>
  <c r="J86"/>
  <c r="J59"/>
  <c r="J36"/>
  <c r="J70"/>
  <c r="J68"/>
  <c r="J35"/>
  <c r="J95"/>
  <c r="J72"/>
  <c r="J38"/>
  <c r="J31"/>
  <c r="J55"/>
  <c r="J76"/>
  <c r="D127"/>
  <c r="F118"/>
  <c r="D124" s="1"/>
  <c r="H35"/>
  <c r="G40"/>
  <c r="H40" s="1"/>
  <c r="E40"/>
  <c r="H42"/>
  <c r="J50"/>
  <c r="E52"/>
  <c r="I54"/>
  <c r="J54" s="1"/>
  <c r="H54"/>
  <c r="I57"/>
  <c r="H57"/>
  <c r="J87"/>
  <c r="H92"/>
  <c r="F200"/>
  <c r="I80"/>
  <c r="H80"/>
  <c r="J89"/>
  <c r="J28"/>
  <c r="H29"/>
  <c r="H31"/>
  <c r="H33"/>
  <c r="J37"/>
  <c r="J42"/>
  <c r="H53"/>
  <c r="H58"/>
  <c r="E58"/>
  <c r="H62"/>
  <c r="J92"/>
  <c r="J96"/>
  <c r="I102"/>
  <c r="D111"/>
  <c r="F117"/>
  <c r="D123" s="1"/>
  <c r="I61"/>
  <c r="J61" s="1"/>
  <c r="H61"/>
  <c r="F12"/>
  <c r="F35" s="1"/>
  <c r="F39"/>
  <c r="G46"/>
  <c r="I46" s="1"/>
  <c r="E46"/>
  <c r="D45"/>
  <c r="J53"/>
  <c r="H55"/>
  <c r="J62"/>
  <c r="H72"/>
  <c r="H73"/>
  <c r="G75"/>
  <c r="E75"/>
  <c r="D64"/>
  <c r="H76"/>
  <c r="I91"/>
  <c r="J91" s="1"/>
  <c r="H91"/>
  <c r="J94"/>
  <c r="G102"/>
  <c r="D119"/>
  <c r="K131"/>
  <c r="E199"/>
  <c r="F199" s="1"/>
  <c r="G49"/>
  <c r="I49" s="1"/>
  <c r="G63"/>
  <c r="H63" s="1"/>
  <c r="G77"/>
  <c r="H77" s="1"/>
  <c r="H93"/>
  <c r="H97"/>
  <c r="D218"/>
  <c r="D48"/>
  <c r="E49"/>
  <c r="E63"/>
  <c r="E77"/>
  <c r="E93"/>
  <c r="J51" i="8" l="1"/>
  <c r="J92"/>
  <c r="J84"/>
  <c r="J61"/>
  <c r="F94"/>
  <c r="F31"/>
  <c r="J59"/>
  <c r="J89"/>
  <c r="J53"/>
  <c r="F84"/>
  <c r="F75"/>
  <c r="J62"/>
  <c r="J54"/>
  <c r="J91"/>
  <c r="J29"/>
  <c r="J44"/>
  <c r="F44"/>
  <c r="J89" i="6"/>
  <c r="J53"/>
  <c r="J52"/>
  <c r="F52"/>
  <c r="J60"/>
  <c r="H51"/>
  <c r="J41"/>
  <c r="I51"/>
  <c r="H89"/>
  <c r="H77" s="1"/>
  <c r="E55"/>
  <c r="J36"/>
  <c r="J88"/>
  <c r="J81"/>
  <c r="F67"/>
  <c r="F41"/>
  <c r="F60"/>
  <c r="J94"/>
  <c r="G13"/>
  <c r="F92"/>
  <c r="J83"/>
  <c r="F54"/>
  <c r="J91"/>
  <c r="J61"/>
  <c r="D122"/>
  <c r="J86"/>
  <c r="J49"/>
  <c r="F90"/>
  <c r="J90"/>
  <c r="J33"/>
  <c r="J28"/>
  <c r="J30"/>
  <c r="F35"/>
  <c r="F74"/>
  <c r="J75"/>
  <c r="J54"/>
  <c r="J31"/>
  <c r="H55"/>
  <c r="E83" i="5"/>
  <c r="I82"/>
  <c r="J82" s="1"/>
  <c r="I58"/>
  <c r="J58" s="1"/>
  <c r="H90"/>
  <c r="H84"/>
  <c r="E27"/>
  <c r="F77"/>
  <c r="F61"/>
  <c r="F63" i="8"/>
  <c r="E23"/>
  <c r="G56"/>
  <c r="H23"/>
  <c r="G23"/>
  <c r="I58"/>
  <c r="J58" s="1"/>
  <c r="I63" i="5"/>
  <c r="J63" s="1"/>
  <c r="D24" i="8"/>
  <c r="H45"/>
  <c r="G64"/>
  <c r="I75"/>
  <c r="I64" s="1"/>
  <c r="I93" i="5"/>
  <c r="J93" s="1"/>
  <c r="H52"/>
  <c r="J57" i="8"/>
  <c r="I56"/>
  <c r="F53"/>
  <c r="F76"/>
  <c r="F43"/>
  <c r="H27"/>
  <c r="F36"/>
  <c r="J42"/>
  <c r="H64"/>
  <c r="H71"/>
  <c r="J46"/>
  <c r="I45"/>
  <c r="H48"/>
  <c r="E48"/>
  <c r="F49"/>
  <c r="F57"/>
  <c r="E56"/>
  <c r="E64"/>
  <c r="F91"/>
  <c r="F74"/>
  <c r="F51"/>
  <c r="F34"/>
  <c r="F32"/>
  <c r="F30"/>
  <c r="F28"/>
  <c r="F97"/>
  <c r="F95"/>
  <c r="F93"/>
  <c r="F77"/>
  <c r="F37"/>
  <c r="F88"/>
  <c r="F86"/>
  <c r="F47"/>
  <c r="F59"/>
  <c r="F46"/>
  <c r="F40"/>
  <c r="H56"/>
  <c r="H83"/>
  <c r="H78" s="1"/>
  <c r="G78"/>
  <c r="H52"/>
  <c r="F92"/>
  <c r="I78"/>
  <c r="F89"/>
  <c r="F39"/>
  <c r="E27"/>
  <c r="J77"/>
  <c r="J31"/>
  <c r="G13"/>
  <c r="F80"/>
  <c r="E78"/>
  <c r="J52"/>
  <c r="D98"/>
  <c r="F90"/>
  <c r="F61"/>
  <c r="J74"/>
  <c r="J73"/>
  <c r="J47"/>
  <c r="J60"/>
  <c r="J88"/>
  <c r="J86"/>
  <c r="J72"/>
  <c r="J70"/>
  <c r="J37"/>
  <c r="J34"/>
  <c r="J40"/>
  <c r="J38"/>
  <c r="J95"/>
  <c r="J93"/>
  <c r="J43"/>
  <c r="J41"/>
  <c r="J35"/>
  <c r="J68"/>
  <c r="J63"/>
  <c r="J39"/>
  <c r="H13"/>
  <c r="J97"/>
  <c r="J32"/>
  <c r="J30"/>
  <c r="J28"/>
  <c r="J94"/>
  <c r="F87"/>
  <c r="F54"/>
  <c r="J36"/>
  <c r="F41"/>
  <c r="J76"/>
  <c r="F29"/>
  <c r="J49"/>
  <c r="J48" s="1"/>
  <c r="I76" i="6"/>
  <c r="J76" s="1"/>
  <c r="F39"/>
  <c r="F82"/>
  <c r="E77"/>
  <c r="J56"/>
  <c r="J74"/>
  <c r="I63"/>
  <c r="F45"/>
  <c r="E44"/>
  <c r="E63"/>
  <c r="F56"/>
  <c r="G77"/>
  <c r="J29"/>
  <c r="F48"/>
  <c r="E47"/>
  <c r="H48"/>
  <c r="H47" s="1"/>
  <c r="G47"/>
  <c r="I39"/>
  <c r="F95"/>
  <c r="F93"/>
  <c r="F88"/>
  <c r="F86"/>
  <c r="F69"/>
  <c r="F49"/>
  <c r="F46"/>
  <c r="F40"/>
  <c r="F36"/>
  <c r="F85"/>
  <c r="F73"/>
  <c r="F58"/>
  <c r="F31"/>
  <c r="F29"/>
  <c r="F27"/>
  <c r="F96"/>
  <c r="F94"/>
  <c r="F87"/>
  <c r="F50"/>
  <c r="F43"/>
  <c r="F33"/>
  <c r="I82"/>
  <c r="J82" s="1"/>
  <c r="F59"/>
  <c r="F34"/>
  <c r="F81"/>
  <c r="G63"/>
  <c r="H74"/>
  <c r="H63" s="1"/>
  <c r="J45"/>
  <c r="I44"/>
  <c r="I92"/>
  <c r="J92" s="1"/>
  <c r="F83"/>
  <c r="J79"/>
  <c r="I62"/>
  <c r="J62" s="1"/>
  <c r="F42"/>
  <c r="F30"/>
  <c r="F28"/>
  <c r="I57"/>
  <c r="J57" s="1"/>
  <c r="F91"/>
  <c r="G55"/>
  <c r="I48"/>
  <c r="G44"/>
  <c r="H45"/>
  <c r="H44" s="1"/>
  <c r="F53"/>
  <c r="J73"/>
  <c r="J38"/>
  <c r="J95"/>
  <c r="J93"/>
  <c r="J72"/>
  <c r="J46"/>
  <c r="J42"/>
  <c r="J40"/>
  <c r="J59"/>
  <c r="J96"/>
  <c r="J67"/>
  <c r="J50"/>
  <c r="J37"/>
  <c r="J87"/>
  <c r="J58"/>
  <c r="J34"/>
  <c r="J71"/>
  <c r="J69"/>
  <c r="J35"/>
  <c r="H13"/>
  <c r="J85"/>
  <c r="F32"/>
  <c r="J43"/>
  <c r="J32"/>
  <c r="F30" i="5"/>
  <c r="F63"/>
  <c r="F90"/>
  <c r="F46"/>
  <c r="E45"/>
  <c r="F92"/>
  <c r="F54"/>
  <c r="F91"/>
  <c r="F72"/>
  <c r="F57"/>
  <c r="I77"/>
  <c r="J77" s="1"/>
  <c r="H56"/>
  <c r="F53"/>
  <c r="H27"/>
  <c r="G13"/>
  <c r="G64"/>
  <c r="H75"/>
  <c r="H71" s="1"/>
  <c r="E64"/>
  <c r="G78"/>
  <c r="H83"/>
  <c r="J49"/>
  <c r="J48" s="1"/>
  <c r="I48"/>
  <c r="F32"/>
  <c r="H13"/>
  <c r="H49"/>
  <c r="H48" s="1"/>
  <c r="G48"/>
  <c r="F82"/>
  <c r="F75"/>
  <c r="J52"/>
  <c r="J46"/>
  <c r="J45" s="1"/>
  <c r="I45"/>
  <c r="F84"/>
  <c r="J80"/>
  <c r="F36"/>
  <c r="F83"/>
  <c r="E78"/>
  <c r="F62"/>
  <c r="J57"/>
  <c r="J56" s="1"/>
  <c r="I56"/>
  <c r="F40"/>
  <c r="F42"/>
  <c r="F96"/>
  <c r="F94"/>
  <c r="F89"/>
  <c r="F87"/>
  <c r="F70"/>
  <c r="F50"/>
  <c r="F44"/>
  <c r="F51"/>
  <c r="F38"/>
  <c r="F29"/>
  <c r="F95"/>
  <c r="F47"/>
  <c r="F41"/>
  <c r="F43"/>
  <c r="F33"/>
  <c r="F97"/>
  <c r="F86"/>
  <c r="F74"/>
  <c r="F59"/>
  <c r="F37"/>
  <c r="F88"/>
  <c r="F31"/>
  <c r="F73"/>
  <c r="F93"/>
  <c r="E48"/>
  <c r="F49"/>
  <c r="F80"/>
  <c r="I75"/>
  <c r="I52"/>
  <c r="G45"/>
  <c r="H46"/>
  <c r="F76"/>
  <c r="F58"/>
  <c r="F55"/>
  <c r="F28"/>
  <c r="F68"/>
  <c r="I83"/>
  <c r="J83" s="1"/>
  <c r="I40"/>
  <c r="G27"/>
  <c r="F34"/>
  <c r="G98" i="8" l="1"/>
  <c r="F48"/>
  <c r="F134" s="1"/>
  <c r="J51" i="6"/>
  <c r="F51"/>
  <c r="F77"/>
  <c r="H70"/>
  <c r="H133"/>
  <c r="F63"/>
  <c r="I25" i="5"/>
  <c r="H25"/>
  <c r="J25"/>
  <c r="H64"/>
  <c r="J75" i="8"/>
  <c r="J64" s="1"/>
  <c r="F78"/>
  <c r="H134"/>
  <c r="I23"/>
  <c r="F23"/>
  <c r="J78"/>
  <c r="F64"/>
  <c r="H134" i="5"/>
  <c r="I98" i="8"/>
  <c r="I24"/>
  <c r="E98"/>
  <c r="H78" i="5"/>
  <c r="J134"/>
  <c r="F64"/>
  <c r="D121" i="8"/>
  <c r="F27"/>
  <c r="J45"/>
  <c r="J134" s="1"/>
  <c r="F52"/>
  <c r="J71"/>
  <c r="H24"/>
  <c r="G24"/>
  <c r="G20" s="1"/>
  <c r="J27"/>
  <c r="E24"/>
  <c r="F45"/>
  <c r="F99" s="1"/>
  <c r="F56"/>
  <c r="J56"/>
  <c r="I77" i="6"/>
  <c r="J63"/>
  <c r="J77"/>
  <c r="J44"/>
  <c r="F47"/>
  <c r="F55"/>
  <c r="F44"/>
  <c r="I55"/>
  <c r="I47"/>
  <c r="J48"/>
  <c r="J47" s="1"/>
  <c r="J39"/>
  <c r="J26" s="1"/>
  <c r="J24" s="1"/>
  <c r="I26"/>
  <c r="J70"/>
  <c r="J55"/>
  <c r="J75" i="5"/>
  <c r="I64"/>
  <c r="F27"/>
  <c r="F78"/>
  <c r="F48"/>
  <c r="I78"/>
  <c r="F45"/>
  <c r="J40"/>
  <c r="J27" s="1"/>
  <c r="I27"/>
  <c r="J78"/>
  <c r="F52"/>
  <c r="F98" i="6" l="1"/>
  <c r="I24"/>
  <c r="J133"/>
  <c r="J23" i="8"/>
  <c r="I20"/>
  <c r="F98"/>
  <c r="J24"/>
  <c r="C207"/>
  <c r="F24"/>
  <c r="I97" i="6"/>
  <c r="F133"/>
  <c r="C207" i="5"/>
  <c r="I98"/>
  <c r="J71"/>
  <c r="J64"/>
  <c r="C190" i="8" l="1"/>
  <c r="C206"/>
  <c r="F13"/>
  <c r="E207"/>
  <c r="D207"/>
  <c r="F207"/>
  <c r="E207" i="5"/>
  <c r="D207"/>
  <c r="F207"/>
  <c r="D18" i="8" l="1"/>
  <c r="D19"/>
  <c r="E206"/>
  <c r="E219" s="1"/>
  <c r="D206"/>
  <c r="D219" s="1"/>
  <c r="F206"/>
  <c r="F219" s="1"/>
  <c r="D190"/>
  <c r="D201" s="1"/>
  <c r="F190"/>
  <c r="F201" s="1"/>
  <c r="E190"/>
  <c r="E201" s="1"/>
  <c r="E19" l="1"/>
  <c r="C19"/>
  <c r="C18"/>
  <c r="E18"/>
  <c r="D20"/>
  <c r="E20" s="1"/>
  <c r="C20" l="1"/>
  <c r="D42" i="1" l="1"/>
  <c r="E42" s="1"/>
  <c r="F42" s="1"/>
  <c r="J42"/>
  <c r="I42"/>
  <c r="D92" l="1"/>
  <c r="E91"/>
  <c r="G91"/>
  <c r="D89"/>
  <c r="G89" s="1"/>
  <c r="G43"/>
  <c r="G50"/>
  <c r="G49"/>
  <c r="G54"/>
  <c r="G53"/>
  <c r="G52"/>
  <c r="G61"/>
  <c r="G60"/>
  <c r="G58"/>
  <c r="D72"/>
  <c r="G72" s="1"/>
  <c r="G80"/>
  <c r="G84"/>
  <c r="G85"/>
  <c r="G86"/>
  <c r="G87"/>
  <c r="G88"/>
  <c r="G90"/>
  <c r="G93"/>
  <c r="G94"/>
  <c r="G95"/>
  <c r="G96"/>
  <c r="F10"/>
  <c r="D138" s="1"/>
  <c r="H11"/>
  <c r="H12" s="1"/>
  <c r="J40" s="1"/>
  <c r="G11"/>
  <c r="G12" s="1"/>
  <c r="H40" s="1"/>
  <c r="I43" l="1"/>
  <c r="H91"/>
  <c r="I91"/>
  <c r="H69"/>
  <c r="H88"/>
  <c r="H90"/>
  <c r="H87"/>
  <c r="H85"/>
  <c r="H58"/>
  <c r="H61"/>
  <c r="H49"/>
  <c r="H52"/>
  <c r="H86"/>
  <c r="H95"/>
  <c r="H93"/>
  <c r="H72"/>
  <c r="H54"/>
  <c r="J46"/>
  <c r="J59"/>
  <c r="J72"/>
  <c r="J69"/>
  <c r="J91"/>
  <c r="J37"/>
  <c r="H46"/>
  <c r="H59"/>
  <c r="H67"/>
  <c r="J73"/>
  <c r="J71"/>
  <c r="H94"/>
  <c r="H96"/>
  <c r="H60"/>
  <c r="H53"/>
  <c r="H50"/>
  <c r="H89"/>
  <c r="H33"/>
  <c r="H35"/>
  <c r="H37"/>
  <c r="H36"/>
  <c r="H38"/>
  <c r="J34"/>
  <c r="J38"/>
  <c r="H51" l="1"/>
  <c r="I33" l="1"/>
  <c r="J33" s="1"/>
  <c r="I35"/>
  <c r="J35" s="1"/>
  <c r="I36"/>
  <c r="J36" s="1"/>
  <c r="I67"/>
  <c r="J67" s="1"/>
  <c r="I105"/>
  <c r="I106"/>
  <c r="I107"/>
  <c r="I108"/>
  <c r="I109"/>
  <c r="I110"/>
  <c r="I118"/>
  <c r="I129"/>
  <c r="I130" s="1"/>
  <c r="E43"/>
  <c r="D38"/>
  <c r="E38" s="1"/>
  <c r="D37"/>
  <c r="E37" s="1"/>
  <c r="E36"/>
  <c r="G34"/>
  <c r="H34" s="1"/>
  <c r="E34"/>
  <c r="F11"/>
  <c r="D141" s="1"/>
  <c r="D59"/>
  <c r="I90"/>
  <c r="J90" s="1"/>
  <c r="E90"/>
  <c r="G73"/>
  <c r="H73" s="1"/>
  <c r="D71"/>
  <c r="D35" l="1"/>
  <c r="D26" s="1"/>
  <c r="J43"/>
  <c r="H43"/>
  <c r="F11" i="2"/>
  <c r="J10"/>
  <c r="G10"/>
  <c r="G12" s="1"/>
  <c r="C212"/>
  <c r="D211"/>
  <c r="E211" s="1"/>
  <c r="F211" s="1"/>
  <c r="D210"/>
  <c r="E210" s="1"/>
  <c r="F210" s="1"/>
  <c r="D209"/>
  <c r="E209" s="1"/>
  <c r="F209" s="1"/>
  <c r="F208"/>
  <c r="F207" s="1"/>
  <c r="E208"/>
  <c r="E207" s="1"/>
  <c r="D208"/>
  <c r="D207" s="1"/>
  <c r="F205"/>
  <c r="E205"/>
  <c r="D205"/>
  <c r="D203"/>
  <c r="E203" s="1"/>
  <c r="F203" s="1"/>
  <c r="F202"/>
  <c r="E202"/>
  <c r="D202"/>
  <c r="D194"/>
  <c r="E194" s="1"/>
  <c r="F194" s="1"/>
  <c r="D193"/>
  <c r="E193" s="1"/>
  <c r="F193" s="1"/>
  <c r="D192"/>
  <c r="F191"/>
  <c r="F190" s="1"/>
  <c r="E191"/>
  <c r="D191"/>
  <c r="D190" s="1"/>
  <c r="E190"/>
  <c r="F188"/>
  <c r="E188"/>
  <c r="D188"/>
  <c r="D186"/>
  <c r="E186" s="1"/>
  <c r="F186" s="1"/>
  <c r="F185"/>
  <c r="E185"/>
  <c r="D185"/>
  <c r="E175"/>
  <c r="D174"/>
  <c r="E174" s="1"/>
  <c r="D173"/>
  <c r="E173" s="1"/>
  <c r="D172"/>
  <c r="E172" s="1"/>
  <c r="D171"/>
  <c r="E171" s="1"/>
  <c r="D170"/>
  <c r="E169"/>
  <c r="E168"/>
  <c r="E161"/>
  <c r="D161"/>
  <c r="K160"/>
  <c r="K159"/>
  <c r="M159" s="1"/>
  <c r="K158"/>
  <c r="M158" s="1"/>
  <c r="J157"/>
  <c r="L157" s="1"/>
  <c r="N157" s="1"/>
  <c r="I157"/>
  <c r="K157" s="1"/>
  <c r="M157" s="1"/>
  <c r="E157"/>
  <c r="J156"/>
  <c r="L156" s="1"/>
  <c r="N156" s="1"/>
  <c r="I156"/>
  <c r="K156" s="1"/>
  <c r="M156" s="1"/>
  <c r="E156"/>
  <c r="M155"/>
  <c r="L155"/>
  <c r="N155" s="1"/>
  <c r="K155"/>
  <c r="J155"/>
  <c r="I155"/>
  <c r="D155"/>
  <c r="E155" s="1"/>
  <c r="M154"/>
  <c r="L154"/>
  <c r="N154" s="1"/>
  <c r="K154"/>
  <c r="D154"/>
  <c r="E154" s="1"/>
  <c r="D153"/>
  <c r="E153" s="1"/>
  <c r="M152"/>
  <c r="E152"/>
  <c r="D152"/>
  <c r="N151"/>
  <c r="M151"/>
  <c r="I151"/>
  <c r="F151"/>
  <c r="J154" s="1"/>
  <c r="D151"/>
  <c r="E147"/>
  <c r="K145"/>
  <c r="L145" s="1"/>
  <c r="E145"/>
  <c r="K144"/>
  <c r="L144" s="1"/>
  <c r="K143"/>
  <c r="I142"/>
  <c r="K142" s="1"/>
  <c r="L142" s="1"/>
  <c r="K141"/>
  <c r="L141" s="1"/>
  <c r="I141"/>
  <c r="L140"/>
  <c r="K140"/>
  <c r="I140"/>
  <c r="K139"/>
  <c r="L139" s="1"/>
  <c r="I139"/>
  <c r="I146" s="1"/>
  <c r="L137"/>
  <c r="L136"/>
  <c r="I136"/>
  <c r="H131"/>
  <c r="I131" s="1"/>
  <c r="H130"/>
  <c r="D120"/>
  <c r="H119"/>
  <c r="G119"/>
  <c r="D116"/>
  <c r="D115"/>
  <c r="D114" s="1"/>
  <c r="D113"/>
  <c r="D112"/>
  <c r="H111"/>
  <c r="G111"/>
  <c r="H110"/>
  <c r="G110"/>
  <c r="D110" s="1"/>
  <c r="H109"/>
  <c r="G109"/>
  <c r="D109" s="1"/>
  <c r="D126" s="1"/>
  <c r="H108"/>
  <c r="G108"/>
  <c r="H107"/>
  <c r="G107"/>
  <c r="H106"/>
  <c r="G106"/>
  <c r="D104"/>
  <c r="D107" s="1"/>
  <c r="E102"/>
  <c r="G94"/>
  <c r="H94" s="1"/>
  <c r="E94"/>
  <c r="G93"/>
  <c r="H93" s="1"/>
  <c r="E93"/>
  <c r="G92"/>
  <c r="H92" s="1"/>
  <c r="E92"/>
  <c r="G91"/>
  <c r="H91" s="1"/>
  <c r="E91"/>
  <c r="D90"/>
  <c r="G90" s="1"/>
  <c r="D89"/>
  <c r="G89" s="1"/>
  <c r="G88"/>
  <c r="H88" s="1"/>
  <c r="E88"/>
  <c r="G87"/>
  <c r="H87" s="1"/>
  <c r="E87"/>
  <c r="G86"/>
  <c r="H86" s="1"/>
  <c r="E86"/>
  <c r="G85"/>
  <c r="H85" s="1"/>
  <c r="E85"/>
  <c r="D83"/>
  <c r="G81"/>
  <c r="D81"/>
  <c r="D82" s="1"/>
  <c r="E82" s="1"/>
  <c r="G79"/>
  <c r="D79"/>
  <c r="F78"/>
  <c r="D76"/>
  <c r="E76" s="1"/>
  <c r="D75"/>
  <c r="D74"/>
  <c r="H71"/>
  <c r="G71"/>
  <c r="E71"/>
  <c r="D70"/>
  <c r="H70" s="1"/>
  <c r="H69"/>
  <c r="G69"/>
  <c r="D69"/>
  <c r="E69" s="1"/>
  <c r="E67"/>
  <c r="H65"/>
  <c r="E65"/>
  <c r="H62"/>
  <c r="E62"/>
  <c r="H61"/>
  <c r="E61"/>
  <c r="E60"/>
  <c r="G59"/>
  <c r="E59"/>
  <c r="D56"/>
  <c r="E56" s="1"/>
  <c r="G55"/>
  <c r="H55" s="1"/>
  <c r="E55"/>
  <c r="G54"/>
  <c r="H54" s="1"/>
  <c r="E54"/>
  <c r="H53"/>
  <c r="G53"/>
  <c r="E53"/>
  <c r="G52"/>
  <c r="H52" s="1"/>
  <c r="E52"/>
  <c r="G51"/>
  <c r="H51" s="1"/>
  <c r="D51"/>
  <c r="E51" s="1"/>
  <c r="G50"/>
  <c r="D50"/>
  <c r="E50" s="1"/>
  <c r="D49"/>
  <c r="G48"/>
  <c r="H48" s="1"/>
  <c r="E48"/>
  <c r="G47"/>
  <c r="H47" s="1"/>
  <c r="E47"/>
  <c r="G46"/>
  <c r="H46" s="1"/>
  <c r="E46"/>
  <c r="D45"/>
  <c r="H44"/>
  <c r="D44"/>
  <c r="E44" s="1"/>
  <c r="G42"/>
  <c r="H42" s="1"/>
  <c r="E42"/>
  <c r="G41"/>
  <c r="H41" s="1"/>
  <c r="E41"/>
  <c r="D40"/>
  <c r="E40" s="1"/>
  <c r="E38"/>
  <c r="D37"/>
  <c r="E37" s="1"/>
  <c r="D35"/>
  <c r="E35" s="1"/>
  <c r="E34"/>
  <c r="D33"/>
  <c r="H32"/>
  <c r="E32"/>
  <c r="G31"/>
  <c r="H31" s="1"/>
  <c r="E31"/>
  <c r="G30"/>
  <c r="H30" s="1"/>
  <c r="E30"/>
  <c r="G29"/>
  <c r="H29" s="1"/>
  <c r="E29"/>
  <c r="G28"/>
  <c r="H28" s="1"/>
  <c r="E28"/>
  <c r="G27"/>
  <c r="H27" s="1"/>
  <c r="E27"/>
  <c r="G26"/>
  <c r="H26" s="1"/>
  <c r="E26"/>
  <c r="F12"/>
  <c r="H12" l="1"/>
  <c r="E70"/>
  <c r="E35" i="1"/>
  <c r="G35" i="2"/>
  <c r="G40"/>
  <c r="H40" s="1"/>
  <c r="G56"/>
  <c r="I154"/>
  <c r="D36"/>
  <c r="G37"/>
  <c r="D39"/>
  <c r="D57"/>
  <c r="G70"/>
  <c r="G75"/>
  <c r="H75" s="1"/>
  <c r="G76"/>
  <c r="H76" s="1"/>
  <c r="D108"/>
  <c r="D111"/>
  <c r="D119"/>
  <c r="G45"/>
  <c r="F94"/>
  <c r="F92"/>
  <c r="F55"/>
  <c r="F54"/>
  <c r="F53"/>
  <c r="F52"/>
  <c r="F93"/>
  <c r="F32"/>
  <c r="F40"/>
  <c r="F48"/>
  <c r="F50"/>
  <c r="E49"/>
  <c r="F88"/>
  <c r="J151"/>
  <c r="I161"/>
  <c r="F27"/>
  <c r="F31"/>
  <c r="H39"/>
  <c r="F47"/>
  <c r="G49"/>
  <c r="H50"/>
  <c r="F67"/>
  <c r="F82"/>
  <c r="E170"/>
  <c r="F28"/>
  <c r="F26"/>
  <c r="F30"/>
  <c r="G33"/>
  <c r="G25" s="1"/>
  <c r="E33"/>
  <c r="F33" s="1"/>
  <c r="D25"/>
  <c r="F35"/>
  <c r="F37"/>
  <c r="E36"/>
  <c r="E39"/>
  <c r="F51"/>
  <c r="F69"/>
  <c r="F76"/>
  <c r="H114"/>
  <c r="G114"/>
  <c r="G102" s="1"/>
  <c r="F29"/>
  <c r="F34"/>
  <c r="G36"/>
  <c r="H37"/>
  <c r="H36" s="1"/>
  <c r="F44"/>
  <c r="F46"/>
  <c r="F56"/>
  <c r="F61"/>
  <c r="F65"/>
  <c r="F91"/>
  <c r="D102"/>
  <c r="E212"/>
  <c r="D212"/>
  <c r="F212"/>
  <c r="F70"/>
  <c r="G82"/>
  <c r="H82" s="1"/>
  <c r="F87"/>
  <c r="D127"/>
  <c r="F118"/>
  <c r="D124" s="1"/>
  <c r="E25"/>
  <c r="H35"/>
  <c r="F38"/>
  <c r="F42"/>
  <c r="E45"/>
  <c r="H56"/>
  <c r="F60"/>
  <c r="F62"/>
  <c r="E74"/>
  <c r="F74" s="1"/>
  <c r="G74"/>
  <c r="H74" s="1"/>
  <c r="F86"/>
  <c r="F117"/>
  <c r="D123" s="1"/>
  <c r="E192"/>
  <c r="F192" s="1"/>
  <c r="F41"/>
  <c r="G44"/>
  <c r="H45"/>
  <c r="F59"/>
  <c r="F71"/>
  <c r="H79"/>
  <c r="F85"/>
  <c r="H89"/>
  <c r="H102"/>
  <c r="E83"/>
  <c r="F83" s="1"/>
  <c r="G83"/>
  <c r="H83" s="1"/>
  <c r="E75"/>
  <c r="F75" s="1"/>
  <c r="E79"/>
  <c r="H81"/>
  <c r="E89"/>
  <c r="F89" s="1"/>
  <c r="H90"/>
  <c r="D77"/>
  <c r="E81"/>
  <c r="F81" s="1"/>
  <c r="E90"/>
  <c r="F90" s="1"/>
  <c r="E151"/>
  <c r="E162" s="1"/>
  <c r="D74" i="1"/>
  <c r="G74" s="1"/>
  <c r="H74" s="1"/>
  <c r="D45"/>
  <c r="G45" s="1"/>
  <c r="H45" s="1"/>
  <c r="H44" s="1"/>
  <c r="D79"/>
  <c r="G79" s="1"/>
  <c r="H79" s="1"/>
  <c r="E45" l="1"/>
  <c r="G39" i="2"/>
  <c r="G57"/>
  <c r="J161"/>
  <c r="H57"/>
  <c r="D95"/>
  <c r="D121" s="1"/>
  <c r="G77"/>
  <c r="H49"/>
  <c r="F45"/>
  <c r="H77"/>
  <c r="F25"/>
  <c r="F49"/>
  <c r="E165"/>
  <c r="E179" s="1"/>
  <c r="F79"/>
  <c r="F77" s="1"/>
  <c r="E77"/>
  <c r="F36"/>
  <c r="H33"/>
  <c r="H25" s="1"/>
  <c r="F39"/>
  <c r="F58"/>
  <c r="F57"/>
  <c r="D22"/>
  <c r="E57"/>
  <c r="F98" l="1"/>
  <c r="D165"/>
  <c r="D179" s="1"/>
  <c r="G95"/>
  <c r="G96" s="1"/>
  <c r="H22"/>
  <c r="E95"/>
  <c r="G22"/>
  <c r="G20" s="1"/>
  <c r="H20" s="1"/>
  <c r="F97"/>
  <c r="F95"/>
  <c r="D141" s="1"/>
  <c r="H95"/>
  <c r="E22"/>
  <c r="D142"/>
  <c r="F22"/>
  <c r="C201"/>
  <c r="E201" l="1"/>
  <c r="D201"/>
  <c r="F201"/>
  <c r="C184"/>
  <c r="F13"/>
  <c r="C200"/>
  <c r="M153"/>
  <c r="M161" s="1"/>
  <c r="M162" s="1"/>
  <c r="L138"/>
  <c r="L146" s="1"/>
  <c r="M146" s="1"/>
  <c r="K151"/>
  <c r="K161" s="1"/>
  <c r="L161" s="1"/>
  <c r="D147"/>
  <c r="D162" s="1"/>
  <c r="K136"/>
  <c r="K146" s="1"/>
  <c r="D18" l="1"/>
  <c r="D19"/>
  <c r="D184"/>
  <c r="D195" s="1"/>
  <c r="E184"/>
  <c r="E195" s="1"/>
  <c r="F184"/>
  <c r="F195" s="1"/>
  <c r="E200"/>
  <c r="E213" s="1"/>
  <c r="D200"/>
  <c r="D213" s="1"/>
  <c r="F200"/>
  <c r="F213" s="1"/>
  <c r="C19" l="1"/>
  <c r="E19"/>
  <c r="D20"/>
  <c r="E20" s="1"/>
  <c r="E18"/>
  <c r="C18"/>
  <c r="C20" s="1"/>
  <c r="E40" i="1" l="1"/>
  <c r="D75" l="1"/>
  <c r="G75" s="1"/>
  <c r="H75" s="1"/>
  <c r="G71" l="1"/>
  <c r="H71" s="1"/>
  <c r="E180" l="1"/>
  <c r="E174"/>
  <c r="E173"/>
  <c r="E162"/>
  <c r="E161"/>
  <c r="E157"/>
  <c r="E150"/>
  <c r="F156"/>
  <c r="E156" s="1"/>
  <c r="E148"/>
  <c r="D62" l="1"/>
  <c r="G62" s="1"/>
  <c r="H62" s="1"/>
  <c r="D57"/>
  <c r="G57" s="1"/>
  <c r="H57" s="1"/>
  <c r="D76"/>
  <c r="G76" s="1"/>
  <c r="H76" s="1"/>
  <c r="D83"/>
  <c r="G83" s="1"/>
  <c r="H83" s="1"/>
  <c r="D81"/>
  <c r="G81" s="1"/>
  <c r="H81" s="1"/>
  <c r="D41"/>
  <c r="G41" s="1"/>
  <c r="D39"/>
  <c r="D175"/>
  <c r="D177"/>
  <c r="E177" s="1"/>
  <c r="D176"/>
  <c r="E176" s="1"/>
  <c r="E33"/>
  <c r="E89"/>
  <c r="E59"/>
  <c r="H63" l="1"/>
  <c r="H70"/>
  <c r="H41"/>
  <c r="I41"/>
  <c r="J41" s="1"/>
  <c r="E83"/>
  <c r="I76"/>
  <c r="J76" s="1"/>
  <c r="I62"/>
  <c r="J62" s="1"/>
  <c r="E175"/>
  <c r="I83"/>
  <c r="J83" s="1"/>
  <c r="E76"/>
  <c r="E62"/>
  <c r="E41"/>
  <c r="E67" l="1"/>
  <c r="E69" l="1"/>
  <c r="E71"/>
  <c r="E72"/>
  <c r="E73"/>
  <c r="D44"/>
  <c r="D159"/>
  <c r="E159" s="1"/>
  <c r="D158"/>
  <c r="E158" s="1"/>
  <c r="D157"/>
  <c r="D216" l="1"/>
  <c r="E216" s="1"/>
  <c r="F216" s="1"/>
  <c r="D215"/>
  <c r="E215" s="1"/>
  <c r="F215" s="1"/>
  <c r="D214"/>
  <c r="E214" s="1"/>
  <c r="F214" s="1"/>
  <c r="F213"/>
  <c r="F212" s="1"/>
  <c r="E213"/>
  <c r="E212" s="1"/>
  <c r="D213"/>
  <c r="D212" s="1"/>
  <c r="F210"/>
  <c r="E210"/>
  <c r="D210"/>
  <c r="D208"/>
  <c r="E208" s="1"/>
  <c r="F208" s="1"/>
  <c r="F207"/>
  <c r="E207"/>
  <c r="D207"/>
  <c r="D199"/>
  <c r="D198"/>
  <c r="E198" s="1"/>
  <c r="F198" s="1"/>
  <c r="D197"/>
  <c r="E197" s="1"/>
  <c r="F197" s="1"/>
  <c r="F196"/>
  <c r="F195" s="1"/>
  <c r="E196"/>
  <c r="E195" s="1"/>
  <c r="D196"/>
  <c r="D195" s="1"/>
  <c r="F193"/>
  <c r="E193"/>
  <c r="D193"/>
  <c r="D191"/>
  <c r="E191" s="1"/>
  <c r="F191" s="1"/>
  <c r="F190"/>
  <c r="E190"/>
  <c r="D190"/>
  <c r="D179"/>
  <c r="E179" s="1"/>
  <c r="D178"/>
  <c r="D160"/>
  <c r="E160" s="1"/>
  <c r="E167" s="1"/>
  <c r="D119"/>
  <c r="G118"/>
  <c r="D115"/>
  <c r="D114"/>
  <c r="D112"/>
  <c r="D111"/>
  <c r="G110"/>
  <c r="G109"/>
  <c r="G108"/>
  <c r="G107"/>
  <c r="G106"/>
  <c r="G105"/>
  <c r="D103"/>
  <c r="D106" s="1"/>
  <c r="E101"/>
  <c r="I96"/>
  <c r="J96" s="1"/>
  <c r="E96"/>
  <c r="I95"/>
  <c r="J95" s="1"/>
  <c r="E95"/>
  <c r="I94"/>
  <c r="J94" s="1"/>
  <c r="E94"/>
  <c r="I93"/>
  <c r="J93" s="1"/>
  <c r="E93"/>
  <c r="G92"/>
  <c r="H92" s="1"/>
  <c r="I89"/>
  <c r="J89" s="1"/>
  <c r="I88"/>
  <c r="J88" s="1"/>
  <c r="E88"/>
  <c r="I87"/>
  <c r="J87" s="1"/>
  <c r="E87"/>
  <c r="I86"/>
  <c r="J86" s="1"/>
  <c r="E86"/>
  <c r="I85"/>
  <c r="J85" s="1"/>
  <c r="E85"/>
  <c r="D82"/>
  <c r="G82" s="1"/>
  <c r="H82" s="1"/>
  <c r="I79"/>
  <c r="J79" s="1"/>
  <c r="E79"/>
  <c r="F78"/>
  <c r="E75"/>
  <c r="I74"/>
  <c r="J74" s="1"/>
  <c r="E74"/>
  <c r="I61"/>
  <c r="J61" s="1"/>
  <c r="E61"/>
  <c r="I60"/>
  <c r="J60" s="1"/>
  <c r="E60"/>
  <c r="I58"/>
  <c r="J58" s="1"/>
  <c r="E58"/>
  <c r="I57"/>
  <c r="J57" s="1"/>
  <c r="D56"/>
  <c r="G56" s="1"/>
  <c r="H56" s="1"/>
  <c r="I54"/>
  <c r="J54" s="1"/>
  <c r="E54"/>
  <c r="I53"/>
  <c r="J53" s="1"/>
  <c r="E53"/>
  <c r="I52"/>
  <c r="E52"/>
  <c r="D51"/>
  <c r="I50"/>
  <c r="J50" s="1"/>
  <c r="E50"/>
  <c r="I49"/>
  <c r="J49" s="1"/>
  <c r="E49"/>
  <c r="D48"/>
  <c r="G48" s="1"/>
  <c r="H48" s="1"/>
  <c r="H47" s="1"/>
  <c r="E46"/>
  <c r="E39"/>
  <c r="G32"/>
  <c r="E32"/>
  <c r="G31"/>
  <c r="E31"/>
  <c r="G30"/>
  <c r="E30"/>
  <c r="F30" s="1"/>
  <c r="G29"/>
  <c r="E29"/>
  <c r="G28"/>
  <c r="E28"/>
  <c r="G27"/>
  <c r="E27"/>
  <c r="F12"/>
  <c r="D142" s="1"/>
  <c r="D156" s="1"/>
  <c r="E26" l="1"/>
  <c r="H55"/>
  <c r="H133"/>
  <c r="H77"/>
  <c r="F43"/>
  <c r="G13"/>
  <c r="F91"/>
  <c r="H13"/>
  <c r="F90"/>
  <c r="I51"/>
  <c r="J52"/>
  <c r="J51" s="1"/>
  <c r="I27"/>
  <c r="H27"/>
  <c r="I28"/>
  <c r="J28" s="1"/>
  <c r="H28"/>
  <c r="I29"/>
  <c r="J29" s="1"/>
  <c r="H29"/>
  <c r="I30"/>
  <c r="J30" s="1"/>
  <c r="H30"/>
  <c r="I31"/>
  <c r="J31" s="1"/>
  <c r="H31"/>
  <c r="I32"/>
  <c r="J32" s="1"/>
  <c r="H32"/>
  <c r="I48"/>
  <c r="I56"/>
  <c r="I92"/>
  <c r="J92" s="1"/>
  <c r="F37"/>
  <c r="F34"/>
  <c r="F38"/>
  <c r="F35"/>
  <c r="F36"/>
  <c r="F40"/>
  <c r="E178"/>
  <c r="F83"/>
  <c r="F76"/>
  <c r="F62"/>
  <c r="F33"/>
  <c r="F41"/>
  <c r="F59"/>
  <c r="F67"/>
  <c r="F71"/>
  <c r="F74"/>
  <c r="F75"/>
  <c r="F69"/>
  <c r="F73"/>
  <c r="F72"/>
  <c r="D109"/>
  <c r="D126" s="1"/>
  <c r="D118"/>
  <c r="G47"/>
  <c r="F53"/>
  <c r="F88"/>
  <c r="F86"/>
  <c r="F39"/>
  <c r="C217"/>
  <c r="E217" s="1"/>
  <c r="G39"/>
  <c r="G26" s="1"/>
  <c r="D47"/>
  <c r="G51"/>
  <c r="F79"/>
  <c r="E82"/>
  <c r="F82" s="1"/>
  <c r="E51"/>
  <c r="I81"/>
  <c r="J81" s="1"/>
  <c r="F52"/>
  <c r="F54"/>
  <c r="E57"/>
  <c r="F57" s="1"/>
  <c r="F60"/>
  <c r="F46"/>
  <c r="F49"/>
  <c r="F85"/>
  <c r="F87"/>
  <c r="F89"/>
  <c r="F93"/>
  <c r="F95"/>
  <c r="D108"/>
  <c r="D125" s="1"/>
  <c r="D110"/>
  <c r="F45"/>
  <c r="F58"/>
  <c r="F61"/>
  <c r="E48"/>
  <c r="F48" s="1"/>
  <c r="F50"/>
  <c r="E81"/>
  <c r="F81" s="1"/>
  <c r="E92"/>
  <c r="F92" s="1"/>
  <c r="F94"/>
  <c r="F96"/>
  <c r="D107"/>
  <c r="D113"/>
  <c r="I113" s="1"/>
  <c r="I101" s="1"/>
  <c r="E56"/>
  <c r="I75"/>
  <c r="I82"/>
  <c r="J82" s="1"/>
  <c r="K130"/>
  <c r="E199"/>
  <c r="F27"/>
  <c r="F28"/>
  <c r="F29"/>
  <c r="F31"/>
  <c r="F32"/>
  <c r="D146" l="1"/>
  <c r="D154" s="1"/>
  <c r="F26"/>
  <c r="J27"/>
  <c r="J77"/>
  <c r="I47"/>
  <c r="J48"/>
  <c r="J47" s="1"/>
  <c r="I55"/>
  <c r="J56"/>
  <c r="I63"/>
  <c r="J75"/>
  <c r="I39"/>
  <c r="I26" s="1"/>
  <c r="H39"/>
  <c r="I77"/>
  <c r="G44"/>
  <c r="I45"/>
  <c r="E55"/>
  <c r="D217"/>
  <c r="G55"/>
  <c r="G63"/>
  <c r="F44"/>
  <c r="F217"/>
  <c r="F117"/>
  <c r="D123" s="1"/>
  <c r="F116"/>
  <c r="D122" s="1"/>
  <c r="D101"/>
  <c r="G113"/>
  <c r="G101" s="1"/>
  <c r="G77"/>
  <c r="E47"/>
  <c r="F51"/>
  <c r="E77"/>
  <c r="E44"/>
  <c r="F47"/>
  <c r="F199"/>
  <c r="F56"/>
  <c r="F55" s="1"/>
  <c r="G23" l="1"/>
  <c r="G97"/>
  <c r="H26"/>
  <c r="H23" s="1"/>
  <c r="D144"/>
  <c r="D152" s="1"/>
  <c r="J55"/>
  <c r="F98"/>
  <c r="F133"/>
  <c r="I44"/>
  <c r="I23" s="1"/>
  <c r="J45"/>
  <c r="J44" s="1"/>
  <c r="J133" s="1"/>
  <c r="J63"/>
  <c r="J70"/>
  <c r="J39"/>
  <c r="J26" s="1"/>
  <c r="I97" l="1"/>
  <c r="J23"/>
  <c r="D63"/>
  <c r="D97" s="1"/>
  <c r="E63"/>
  <c r="E23" s="1"/>
  <c r="G20" l="1"/>
  <c r="I20" s="1"/>
  <c r="E97"/>
  <c r="F63" l="1"/>
  <c r="D120"/>
  <c r="E170"/>
  <c r="E184" s="1"/>
  <c r="D170"/>
  <c r="D184" s="1"/>
  <c r="F77" l="1"/>
  <c r="F97" s="1"/>
  <c r="F23" l="1"/>
  <c r="D145"/>
  <c r="C206"/>
  <c r="D153" l="1"/>
  <c r="D143"/>
  <c r="E206"/>
  <c r="F206"/>
  <c r="D206"/>
  <c r="C205"/>
  <c r="C189"/>
  <c r="F13"/>
  <c r="D189" l="1"/>
  <c r="D200" s="1"/>
  <c r="F189"/>
  <c r="F200" s="1"/>
  <c r="E189"/>
  <c r="E200" s="1"/>
  <c r="D19"/>
  <c r="D18"/>
  <c r="D205"/>
  <c r="D218" s="1"/>
  <c r="E205"/>
  <c r="E218" s="1"/>
  <c r="F205"/>
  <c r="F218" s="1"/>
  <c r="E147"/>
  <c r="D167"/>
  <c r="C19" l="1"/>
  <c r="E19"/>
  <c r="E18"/>
  <c r="C18"/>
  <c r="D20"/>
  <c r="E20" s="1"/>
  <c r="C20" l="1"/>
  <c r="H40" i="10"/>
  <c r="F32"/>
  <c r="F40" s="1"/>
  <c r="F54" l="1"/>
  <c r="F57" s="1"/>
  <c r="F58" s="1"/>
  <c r="H57"/>
  <c r="D25" i="5"/>
  <c r="E60"/>
  <c r="E56" s="1"/>
  <c r="E98" s="1"/>
  <c r="F60"/>
  <c r="F99" s="1"/>
  <c r="G60"/>
  <c r="G56" s="1"/>
  <c r="G98" s="1"/>
  <c r="D56"/>
  <c r="D98"/>
  <c r="D121" s="1"/>
  <c r="F25" l="1"/>
  <c r="F56"/>
  <c r="F98" s="1"/>
  <c r="E25"/>
  <c r="F134"/>
  <c r="G25"/>
  <c r="G21" s="1"/>
  <c r="I21" s="1"/>
  <c r="C206" l="1"/>
  <c r="F13"/>
  <c r="C190"/>
  <c r="E190" l="1"/>
  <c r="E201" s="1"/>
  <c r="F190"/>
  <c r="F201" s="1"/>
  <c r="D190"/>
  <c r="D201" s="1"/>
  <c r="D19"/>
  <c r="D20"/>
  <c r="D206"/>
  <c r="D219" s="1"/>
  <c r="E206"/>
  <c r="E219" s="1"/>
  <c r="F206"/>
  <c r="F219" s="1"/>
  <c r="E19" l="1"/>
  <c r="C19"/>
  <c r="C21" s="1"/>
  <c r="D21"/>
  <c r="E21" s="1"/>
  <c r="E20"/>
  <c r="C20"/>
  <c r="D97" i="6"/>
  <c r="D120" s="1"/>
  <c r="D26"/>
  <c r="D24" s="1"/>
  <c r="G26"/>
  <c r="E38"/>
  <c r="E26" s="1"/>
  <c r="G97" l="1"/>
  <c r="G24"/>
  <c r="G21" s="1"/>
  <c r="I21" s="1"/>
  <c r="E24"/>
  <c r="E97"/>
  <c r="F38"/>
  <c r="F26" s="1"/>
  <c r="H38"/>
  <c r="H26" s="1"/>
  <c r="H24" s="1"/>
  <c r="C206" l="1"/>
  <c r="F97"/>
  <c r="F24"/>
  <c r="E206" l="1"/>
  <c r="F206"/>
  <c r="D206"/>
  <c r="C205"/>
  <c r="C189"/>
  <c r="F13"/>
  <c r="D205" l="1"/>
  <c r="D218" s="1"/>
  <c r="F205"/>
  <c r="E205"/>
  <c r="D20"/>
  <c r="D19"/>
  <c r="F218"/>
  <c r="D189"/>
  <c r="D200" s="1"/>
  <c r="E189"/>
  <c r="E200" s="1"/>
  <c r="F189"/>
  <c r="F200" s="1"/>
  <c r="E218"/>
  <c r="C20" l="1"/>
  <c r="E20"/>
  <c r="D21"/>
  <c r="E21" s="1"/>
  <c r="E19"/>
  <c r="C19"/>
  <c r="C21" s="1"/>
</calcChain>
</file>

<file path=xl/sharedStrings.xml><?xml version="1.0" encoding="utf-8"?>
<sst xmlns="http://schemas.openxmlformats.org/spreadsheetml/2006/main" count="1859" uniqueCount="443">
  <si>
    <t xml:space="preserve">Согласована:                                                                                                  Утверждена </t>
  </si>
  <si>
    <r>
      <t xml:space="preserve">правлением ТСЖ «Луч»                                           общим собранием собственников жилья    </t>
    </r>
    <r>
      <rPr>
        <b/>
        <i/>
        <sz val="11.5"/>
        <color rgb="FF333333"/>
        <rFont val="Times New Roman"/>
        <family val="1"/>
        <charset val="204"/>
      </rPr>
      <t xml:space="preserve">       ТСЖ «Луч» </t>
    </r>
  </si>
  <si>
    <t>протокол №___ от __________2018г.                              протокол № _ от _________2018г</t>
  </si>
  <si>
    <r>
      <t xml:space="preserve">                                                                                                     </t>
    </r>
    <r>
      <rPr>
        <b/>
        <sz val="16"/>
        <color theme="1"/>
        <rFont val="Calibri"/>
        <family val="2"/>
        <charset val="204"/>
        <scheme val="minor"/>
      </rPr>
      <t xml:space="preserve">   смета</t>
    </r>
  </si>
  <si>
    <t>Техническая характеристика МКД</t>
  </si>
  <si>
    <t>Площадь жилых помещений</t>
  </si>
  <si>
    <t>Площадь нежилых помещений</t>
  </si>
  <si>
    <t>Общая площадь</t>
  </si>
  <si>
    <t>Ставка технического обслуживания, руб/кв.м.</t>
  </si>
  <si>
    <t>Адрес МКД: г.Москва ,ул.Герасима Курина д.44 кор.1,ул,Кастанаевская д.51 кор.1</t>
  </si>
  <si>
    <t xml:space="preserve">№ </t>
  </si>
  <si>
    <t>Наименование статей дохода</t>
  </si>
  <si>
    <t xml:space="preserve">Сумма в год, </t>
  </si>
  <si>
    <t xml:space="preserve">Сумма в м-ц, </t>
  </si>
  <si>
    <t xml:space="preserve">статьи </t>
  </si>
  <si>
    <t xml:space="preserve">рублей </t>
  </si>
  <si>
    <t xml:space="preserve">1.                   Целевые поступления </t>
  </si>
  <si>
    <t>Поступления на содержание и ремонт ОИ МКД</t>
  </si>
  <si>
    <t>1.1</t>
  </si>
  <si>
    <t>Содержание и текущий ремонт ОИ (жилые пом.)</t>
  </si>
  <si>
    <t>Содержание и текущий ремонт ОИ (нежилые пом.)</t>
  </si>
  <si>
    <t>ИТОГО</t>
  </si>
  <si>
    <t>Наименование статей расхода</t>
  </si>
  <si>
    <t>Наименование организации по договору</t>
  </si>
  <si>
    <t>Стоимость 1 м2</t>
  </si>
  <si>
    <t>ул.Герасима Курина д.44 кор.1</t>
  </si>
  <si>
    <t>ул,Кастанаевская д.51 кор.1</t>
  </si>
  <si>
    <t>Содержание и ремонт ОИ, в т.ч.:</t>
  </si>
  <si>
    <t>1.1.</t>
  </si>
  <si>
    <t>1.1.2</t>
  </si>
  <si>
    <t>ООО Мастергаз</t>
  </si>
  <si>
    <t>1.1.3</t>
  </si>
  <si>
    <t>Предприятие Теплострой</t>
  </si>
  <si>
    <t>1.1.4</t>
  </si>
  <si>
    <t>Фортуна</t>
  </si>
  <si>
    <t>1.1.5</t>
  </si>
  <si>
    <t>Годовой отчет по безопасности газового хозяйства в Ростехнадзор</t>
  </si>
  <si>
    <t>1.1.6</t>
  </si>
  <si>
    <t>Стр.компания ПАРИ</t>
  </si>
  <si>
    <t>1.1.7</t>
  </si>
  <si>
    <t>ООО АЦ БТ в пром</t>
  </si>
  <si>
    <t>1.1.8</t>
  </si>
  <si>
    <t>1.1.9</t>
  </si>
  <si>
    <t>1.1.10</t>
  </si>
  <si>
    <t>1.1.11</t>
  </si>
  <si>
    <t>Оплата труда инженеров, в т.ч. Отчисления с ФОТ</t>
  </si>
  <si>
    <t>1.1.12</t>
  </si>
  <si>
    <t>Лифтовое хозяйство</t>
  </si>
  <si>
    <t>1.1.13</t>
  </si>
  <si>
    <t>Обслуживание лифтов и лифтового оборудования</t>
  </si>
  <si>
    <t>ООО Лифтико</t>
  </si>
  <si>
    <t>1.1.14</t>
  </si>
  <si>
    <t>Страхование ОПО (лифты)</t>
  </si>
  <si>
    <t>Системы ДУ и ППА</t>
  </si>
  <si>
    <t>1.1.15</t>
  </si>
  <si>
    <t>Обслуживание систем дымоудаления и протовопожарной автоматики</t>
  </si>
  <si>
    <t>ООО ОПС Запад</t>
  </si>
  <si>
    <t>1.1.16</t>
  </si>
  <si>
    <t>Испытания противопожарных трубопроводов</t>
  </si>
  <si>
    <t>ОПС Запад</t>
  </si>
  <si>
    <t>1.1.17</t>
  </si>
  <si>
    <t>Противопожарные мероприятия</t>
  </si>
  <si>
    <t>Домофон</t>
  </si>
  <si>
    <t>Прочее</t>
  </si>
  <si>
    <t>Проверка,очистка вентканалов</t>
  </si>
  <si>
    <t>Аварийное обслуживание</t>
  </si>
  <si>
    <t>специалисты,работники ТСЖ</t>
  </si>
  <si>
    <t>Электроэнергия лифты и освещение мест общего пользования</t>
  </si>
  <si>
    <t>Мосэнергосбыт</t>
  </si>
  <si>
    <t>1.2.</t>
  </si>
  <si>
    <t>1.2.1.</t>
  </si>
  <si>
    <t>Расход воды на общедомовые нужды ( расчет 5%)</t>
  </si>
  <si>
    <t>обслуживающий персонал</t>
  </si>
  <si>
    <t>1.2.2.</t>
  </si>
  <si>
    <t>Содержание и уборка мест общего пользования и конструктивных элементов МКД (з/п уборощиков, отчисления от ФОТ, знаки,  очистка кровли и подвалов от мусора,очистка козырьков от мусора ,снега), содержание мусоропровода</t>
  </si>
  <si>
    <t>обслуживающий персонал ТСЖ</t>
  </si>
  <si>
    <t>1.2.3.</t>
  </si>
  <si>
    <t>Дезинфекция и дератизация (подъезды, подвалы, мусорокамеры)</t>
  </si>
  <si>
    <t>МГЦ Дезинфекция</t>
  </si>
  <si>
    <t>1.2.4.</t>
  </si>
  <si>
    <t>ООО Леруа мерлен</t>
  </si>
  <si>
    <t>1.2.5.</t>
  </si>
  <si>
    <t xml:space="preserve">Вывоз КГМ </t>
  </si>
  <si>
    <t>ООО Мехуборка</t>
  </si>
  <si>
    <t>1.3.</t>
  </si>
  <si>
    <t>Работы по ремонту общего имущества</t>
  </si>
  <si>
    <t>1.3.1</t>
  </si>
  <si>
    <t>1.3.2</t>
  </si>
  <si>
    <t>1.3.5</t>
  </si>
  <si>
    <t>1.3.6</t>
  </si>
  <si>
    <t>1.3.7</t>
  </si>
  <si>
    <t>1.3.8</t>
  </si>
  <si>
    <t>Технический персонал</t>
  </si>
  <si>
    <t xml:space="preserve">Расходы, связанные с обслуживанием жилищного фонда (услуги по управлению) </t>
  </si>
  <si>
    <t>Подготовка персонала</t>
  </si>
  <si>
    <t>Обучение персонала, ИТР</t>
  </si>
  <si>
    <t>Учебный центр</t>
  </si>
  <si>
    <t>2.2</t>
  </si>
  <si>
    <t>Оплата труда</t>
  </si>
  <si>
    <t>Оплата труда АУП, председателя</t>
  </si>
  <si>
    <t>АУП</t>
  </si>
  <si>
    <t>Отчисления от ФОТ 30,2%</t>
  </si>
  <si>
    <t>2.3</t>
  </si>
  <si>
    <t>Другие расходы</t>
  </si>
  <si>
    <t>ПАО Сбербанк,ООО Лазурит</t>
  </si>
  <si>
    <t>Расходные материалы, канцелярские товары</t>
  </si>
  <si>
    <t>ООО Номус,ООО Комус</t>
  </si>
  <si>
    <t>Почтовые  расходы,ремонт оргтехники, прочие</t>
  </si>
  <si>
    <t>Почта</t>
  </si>
  <si>
    <t>Оплата за услуги связи</t>
  </si>
  <si>
    <t>Мегафон,МТС,МГТС</t>
  </si>
  <si>
    <t>1С Рарус, Квартплата,Контур</t>
  </si>
  <si>
    <t>Транспортные расходы</t>
  </si>
  <si>
    <t>Создание сайта,сопровождение</t>
  </si>
  <si>
    <t xml:space="preserve">1С Рарус </t>
  </si>
  <si>
    <t xml:space="preserve">Оргтехника </t>
  </si>
  <si>
    <t>ООО Ситилинк</t>
  </si>
  <si>
    <t>тендер</t>
  </si>
  <si>
    <t>Юридические расходы</t>
  </si>
  <si>
    <t>Всего расходов по Содержанию и Ремонту ОИ</t>
  </si>
  <si>
    <t>II</t>
  </si>
  <si>
    <t>Услуги ресурсоснабжающих организаций, участвующих в расчете тарифов 2018 г. ( по данным 2017г) в т.ч.</t>
  </si>
  <si>
    <t>вода, в т.ч.</t>
  </si>
  <si>
    <t>ООО Мосводоканал</t>
  </si>
  <si>
    <t>слив, руб. в год</t>
  </si>
  <si>
    <t>Холодная вода, руб. в год</t>
  </si>
  <si>
    <t>Холодная вода для ГВС, руб. в год</t>
  </si>
  <si>
    <t>газ, в т.ч.</t>
  </si>
  <si>
    <t>ООО Газпром МежрегионГаз, АО Мосгаз</t>
  </si>
  <si>
    <t>газ для отопления, руб. в год</t>
  </si>
  <si>
    <t>газ для производства ГВС, руб. в год</t>
  </si>
  <si>
    <t>Транспортировка газа, в т.ч.:</t>
  </si>
  <si>
    <t>АО Мосгаз</t>
  </si>
  <si>
    <t>Для отопления, руб. в год</t>
  </si>
  <si>
    <t>Для подогрева ГВС, руб. в год</t>
  </si>
  <si>
    <t>электроэнергия</t>
  </si>
  <si>
    <t>ООО Мосэнергосбыт</t>
  </si>
  <si>
    <t>для ГВС, руб в год</t>
  </si>
  <si>
    <t>ТАРИФ на ОТОПЛЕНИЕ, руб/кв.м. в месяц</t>
  </si>
  <si>
    <t>ТАРИФ на подогрев ХВС для ГВС, руб/куб.м.</t>
  </si>
  <si>
    <t>Расходы на телевидение, радио, руб в год</t>
  </si>
  <si>
    <t>ООО Мостелесигнал, ООО ФГУП Радио</t>
  </si>
  <si>
    <t>Обслуживание домофона, руб в год</t>
  </si>
  <si>
    <t>ООО Рассвет</t>
  </si>
  <si>
    <t>Справочно поступления по новым тарифам:</t>
  </si>
  <si>
    <t>За отопление, руб. в год</t>
  </si>
  <si>
    <t>За подогрев ХВС для ГВС, руб. в год</t>
  </si>
  <si>
    <t>Справочно фактические ресурсные затраты за 2017 г.:</t>
  </si>
  <si>
    <t>ЦЕЛЕВОЙ ВЗНОС НА КОНСЪЕРЖЕЙ (д.51 под.2)</t>
  </si>
  <si>
    <t>Фонд зарплаты</t>
  </si>
  <si>
    <t>Налоги с ФОТ</t>
  </si>
  <si>
    <t>Ставка целевого взноса = фонд+налоги/площадь подъезда</t>
  </si>
  <si>
    <t>ОБЩАЯ Смета Доходов и Расходов на 2019</t>
  </si>
  <si>
    <t>Площадь жилых помещений, кв.м.</t>
  </si>
  <si>
    <t>Площадь нежилых помещений, кв.м.</t>
  </si>
  <si>
    <t>Общая площадь, кв.м.</t>
  </si>
  <si>
    <t>Ставка технического обслуживания общего имущества, руб/кв.м., в т.ч.</t>
  </si>
  <si>
    <t>Ставка на содержание газового хозяйства, руб/кв.м.</t>
  </si>
  <si>
    <t>ДОХОДЫ</t>
  </si>
  <si>
    <t>План, руб.</t>
  </si>
  <si>
    <t>Входящий остаток по р/с на 01.01.2019</t>
  </si>
  <si>
    <t>Поступления за техническое обслуживание и  текущий ремонт</t>
  </si>
  <si>
    <t xml:space="preserve">Поступления на содержание газового хозяйства </t>
  </si>
  <si>
    <t>Поступления от собственников в счет оплаты КУ, в т.ч.:</t>
  </si>
  <si>
    <t>Отопление</t>
  </si>
  <si>
    <t>2</t>
  </si>
  <si>
    <t>ГВС</t>
  </si>
  <si>
    <t>3</t>
  </si>
  <si>
    <t>ХВС</t>
  </si>
  <si>
    <t>4</t>
  </si>
  <si>
    <t>Водоотведение</t>
  </si>
  <si>
    <t>5</t>
  </si>
  <si>
    <t>Радио, антенна, домофон</t>
  </si>
  <si>
    <t>7</t>
  </si>
  <si>
    <t>Целевой взнос на охрану</t>
  </si>
  <si>
    <t>8</t>
  </si>
  <si>
    <t>Поступления от сдачи в аренду мест под оборудование</t>
  </si>
  <si>
    <t>ИТОГО ДОХОДОВ</t>
  </si>
  <si>
    <t>РАСХОДЫ</t>
  </si>
  <si>
    <t>м.куб</t>
  </si>
  <si>
    <t>руб.</t>
  </si>
  <si>
    <t>Расходы на содержание и текущий ремонт общего имущества 2019</t>
  </si>
  <si>
    <t>Расходы на содержание газового хозяйства 2019</t>
  </si>
  <si>
    <t>Оплата поставщикам коммунальных ресурсов, в т.ч.</t>
  </si>
  <si>
    <t>Газ для нежилых (поставщик ГАЗПРОМ), м.куб</t>
  </si>
  <si>
    <t>Транспортировка газа (поставщик МОСГАЗ), м.куб.</t>
  </si>
  <si>
    <t>Вода холодная, м. куб.</t>
  </si>
  <si>
    <t>Водоотведение, м.куб.</t>
  </si>
  <si>
    <t>Электроэнергия, квт/час</t>
  </si>
  <si>
    <t>Оплата прочих комм. услуг (радио, антенна, домофон)</t>
  </si>
  <si>
    <t>Охрана (услуги консъержа)</t>
  </si>
  <si>
    <t>ИТОГО РАСХОДОВ</t>
  </si>
  <si>
    <t>Состав квитанции вариант 1 (общая ставка)</t>
  </si>
  <si>
    <t>Тариф, руб/ед.натур. Показатель</t>
  </si>
  <si>
    <t>1 комнатная кв., рублей</t>
  </si>
  <si>
    <t>2 комнатная кв., рублей</t>
  </si>
  <si>
    <t>3 конатная кв., рублей</t>
  </si>
  <si>
    <t>общая площадь, кв.м.</t>
  </si>
  <si>
    <t>Содержание и ремонт общего имущества (на кв.м. общей плошади)</t>
  </si>
  <si>
    <t>Отопление (на кв.м. общей площади)</t>
  </si>
  <si>
    <t>ГВС (на объем воды в куб.м.)</t>
  </si>
  <si>
    <t>объем потребления ГВС, куб.м.</t>
  </si>
  <si>
    <t>ХВС  (на объем воды в куб.м.)</t>
  </si>
  <si>
    <t>объем потребления ХВС, куб.м</t>
  </si>
  <si>
    <t>объем водоотведения, куб.м.</t>
  </si>
  <si>
    <t>Антенна</t>
  </si>
  <si>
    <t>Радио</t>
  </si>
  <si>
    <t>Состав квитанции вариант 2 (детализация)</t>
  </si>
  <si>
    <t>Содержание и ремонт общего имущества, в т.ч.</t>
  </si>
  <si>
    <t>Эксплуатационные расходы (на кв.м. общей плошади)</t>
  </si>
  <si>
    <t>Содержание и ремонт крышных котельных (на кв.м. общей плошади)</t>
  </si>
  <si>
    <t>РЕЗЕРВНЫЙ ФОНД</t>
  </si>
  <si>
    <t>Сумма в год, руб</t>
  </si>
  <si>
    <t>Обслуживание домофонов</t>
  </si>
  <si>
    <t>План работ, №№ статей</t>
  </si>
  <si>
    <t xml:space="preserve">Системы тепло- и водоснабжения </t>
  </si>
  <si>
    <t>Замена бака системы отопления д. 51</t>
  </si>
  <si>
    <t>Оплата труда ИТР ,рабочих ,отчисления от ФОТ</t>
  </si>
  <si>
    <t>4.1.1-4.1.3</t>
  </si>
  <si>
    <t>Лифты</t>
  </si>
  <si>
    <t>Ремонт лифтового оборудования 44, 51</t>
  </si>
  <si>
    <t>1.3.3</t>
  </si>
  <si>
    <t>1.3.4</t>
  </si>
  <si>
    <t>Госповерка газовых счетчиков 4 шт д.51</t>
  </si>
  <si>
    <t>2.1.1-2.1.10</t>
  </si>
  <si>
    <t>Подвалы (обустройство входа)</t>
  </si>
  <si>
    <t>1.2.5</t>
  </si>
  <si>
    <t>Цоколь (покраска)</t>
  </si>
  <si>
    <t>1.2.3</t>
  </si>
  <si>
    <t>1.2.1, 1.2.6</t>
  </si>
  <si>
    <t>Источник финансирования</t>
  </si>
  <si>
    <t>1.1.1</t>
  </si>
  <si>
    <t>1.2.7</t>
  </si>
  <si>
    <t>1.2.8</t>
  </si>
  <si>
    <t>1.1.2, 1.1.5</t>
  </si>
  <si>
    <t>1.1.1, 1.1.3, 1.1.4</t>
  </si>
  <si>
    <r>
      <t xml:space="preserve">Содержание инженерных систем </t>
    </r>
    <r>
      <rPr>
        <b/>
        <i/>
        <sz val="12"/>
        <color theme="1"/>
        <rFont val="Times New Roman"/>
        <family val="1"/>
        <charset val="204"/>
      </rPr>
      <t>(п.п.1.1.1-1.1.17), в том числе:</t>
    </r>
  </si>
  <si>
    <r>
      <t>Санитарное содержание мест общего пользования МКД</t>
    </r>
    <r>
      <rPr>
        <b/>
        <i/>
        <sz val="12"/>
        <color theme="1"/>
        <rFont val="Times New Roman"/>
        <family val="1"/>
        <charset val="204"/>
      </rPr>
      <t xml:space="preserve"> (п.п.1.2.1.-1.2.5.) в том числе:</t>
    </r>
  </si>
  <si>
    <t>1.3.9</t>
  </si>
  <si>
    <t>1.3.10</t>
  </si>
  <si>
    <t>1.3.11</t>
  </si>
  <si>
    <t>1.3.12</t>
  </si>
  <si>
    <t>2.1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</si>
  <si>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</si>
  <si>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</si>
  <si>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</si>
  <si>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</si>
  <si>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</si>
  <si>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</si>
  <si>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</si>
  <si>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</si>
  <si>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</si>
  <si>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</si>
  <si>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Ежемесячное ТО, текущий ремонт газового оборудования  крышных газовых котельных, ГРПШ</t>
  </si>
  <si>
    <t>Госповерка газоанализаторов  крышных газовых котельных</t>
  </si>
  <si>
    <t>Госповерка манометров  крышных газовых котельных</t>
  </si>
  <si>
    <t>Газовые крышные котельные</t>
  </si>
  <si>
    <t xml:space="preserve">Страхование ОПО </t>
  </si>
  <si>
    <t>Средства ТБ и спецодежда,хоз. инвентарь ,инструменты,оборудование(насосы , моющие средства для уборки помещений</t>
  </si>
  <si>
    <t>Ремонт мест общего пользования</t>
  </si>
  <si>
    <t xml:space="preserve">Проведение аудита </t>
  </si>
  <si>
    <t>Химическая промывка с разборкой и сборкой водонагревателей 4 шт. д.51 в 4-х котельных</t>
  </si>
  <si>
    <t>Проверка/замена изолирующих соединений</t>
  </si>
  <si>
    <t>Ремонт системы ДУ и ППА д.51</t>
  </si>
  <si>
    <t>Промывка стволов мусоропроводов</t>
  </si>
  <si>
    <t>Покраска стволов мусоропроводов, покраска дверей мусорокамер</t>
  </si>
  <si>
    <t>Работы выполняются собственными силами</t>
  </si>
  <si>
    <t>Обслуживание банковских счетов</t>
  </si>
  <si>
    <t>Программное обеспечение, обслуживание (1С, Квартплата,Контур, ГИС ЖКХ)</t>
  </si>
  <si>
    <t>Подъезды (косметический ремонт 1.2.4.5 п д.44 и 1.2.3.4.д.51,укладка настен.плитки 1 эт., обустройство тех.помещений 1,4,5, д.44 и 3,4 д.51. , замена дверей консъержных 1 п. 44 д. и 4 п. 51 д.)</t>
  </si>
  <si>
    <t>Покраска ГРПШ</t>
  </si>
  <si>
    <t xml:space="preserve">        Работы выполняются собственными силами</t>
  </si>
  <si>
    <t>1.2.4</t>
  </si>
  <si>
    <t xml:space="preserve">Газ для населения (поставщик ГАЗПРОМ), м. куб., в т.ч. </t>
  </si>
  <si>
    <t>СОИ</t>
  </si>
  <si>
    <t>Резерв на оплату отпускных инженеров, в т.ч. Отчисления</t>
  </si>
  <si>
    <t>2.3.1</t>
  </si>
  <si>
    <t>Резерв на отпуска ИТР ,рабочих , отчисления от ФОТ</t>
  </si>
  <si>
    <t>ОДН</t>
  </si>
  <si>
    <t>по ставкам москвы</t>
  </si>
  <si>
    <t>руб/кв.м.</t>
  </si>
  <si>
    <t>С и Р ОИ мкд</t>
  </si>
  <si>
    <t>Отопл</t>
  </si>
  <si>
    <t>Слив</t>
  </si>
  <si>
    <t>радио</t>
  </si>
  <si>
    <t>антенна</t>
  </si>
  <si>
    <t>льготы</t>
  </si>
  <si>
    <t>Организация и эксплуатация шлагбаума</t>
  </si>
  <si>
    <t>Субсидия на 2 шлагбаума</t>
  </si>
  <si>
    <r>
      <t>Целевой взнос на обслуживание и эксплуатацию шлагбаумов 2 шт д.44 кор.1 Г.Курина(</t>
    </r>
    <r>
      <rPr>
        <sz val="8"/>
        <color theme="1"/>
        <rFont val="Calibri"/>
        <family val="2"/>
        <charset val="204"/>
        <scheme val="minor"/>
      </rPr>
      <t>ежемесячный взнос на обслуживание и эксплуатацию шлагбаумов)</t>
    </r>
  </si>
  <si>
    <r>
      <t>Целевые взносы на установку шлагбаумов 2 шт д.44 кор.1 Г.Курина (</t>
    </r>
    <r>
      <rPr>
        <sz val="8"/>
        <color theme="1"/>
        <rFont val="Calibri"/>
        <family val="2"/>
        <charset val="204"/>
        <scheme val="minor"/>
      </rPr>
      <t>разовый взнос )</t>
    </r>
  </si>
  <si>
    <t>кв.Рубежова</t>
  </si>
  <si>
    <t>новая структура платы</t>
  </si>
  <si>
    <t>Рез.Фонд</t>
  </si>
  <si>
    <t>Сод. Котельной</t>
  </si>
  <si>
    <t>старая структура платы</t>
  </si>
  <si>
    <t>расч.ставки на отопление и ГВС,СоиР 29.4</t>
  </si>
  <si>
    <t>кв.Базанова</t>
  </si>
  <si>
    <t>ПРИМЕР КВИТАНЦИИ</t>
  </si>
  <si>
    <r>
      <t>Месячная стоимость(</t>
    </r>
    <r>
      <rPr>
        <b/>
        <sz val="9"/>
        <rFont val="Calibri"/>
        <family val="2"/>
        <charset val="204"/>
        <scheme val="minor"/>
      </rPr>
      <t>услуги,товары</t>
    </r>
    <r>
      <rPr>
        <b/>
        <sz val="11"/>
        <rFont val="Calibri"/>
        <family val="2"/>
        <charset val="204"/>
        <scheme val="minor"/>
      </rPr>
      <t>)</t>
    </r>
  </si>
  <si>
    <r>
      <t>Плановая стоимость за работы (</t>
    </r>
    <r>
      <rPr>
        <b/>
        <sz val="8"/>
        <color theme="1"/>
        <rFont val="Calibri"/>
        <family val="2"/>
        <charset val="204"/>
        <scheme val="minor"/>
      </rPr>
      <t>услуги,товары</t>
    </r>
    <r>
      <rPr>
        <b/>
        <sz val="11"/>
        <color theme="1"/>
        <rFont val="Calibri"/>
        <family val="2"/>
        <charset val="204"/>
        <scheme val="minor"/>
      </rPr>
      <t>) на 2019 год</t>
    </r>
  </si>
  <si>
    <t xml:space="preserve"> расходов на техническое содержание и текущий ремонт общего имущества  МКД ТСЖ  "Луч" на  2019 год.</t>
  </si>
  <si>
    <t>Резерв на оплату отпускных , в т.ч. Отчисления</t>
  </si>
  <si>
    <t>*</t>
  </si>
  <si>
    <t>расч.ставки на отопление и ГВС,СоиР 44.78</t>
  </si>
  <si>
    <t>Рез.фонд</t>
  </si>
  <si>
    <t>Сод. Котел</t>
  </si>
  <si>
    <t>Сод.КК</t>
  </si>
  <si>
    <t>Входные группы (покраска стен, замена плитки на крыльце и замена входных дверей) пп. 1,2,4 д.44, пп.1,2,3,4 д. 51</t>
  </si>
  <si>
    <t>Транспортные расходы доставка котлов</t>
  </si>
  <si>
    <t>Ремонт 1-го котла ул. Курина, д.44 корп.1</t>
  </si>
  <si>
    <t>Ремонт насосов кот. № 1 д.51</t>
  </si>
  <si>
    <t>По реестру</t>
  </si>
  <si>
    <t>по паспорту</t>
  </si>
  <si>
    <t xml:space="preserve">Замена бака системы отопления </t>
  </si>
  <si>
    <t>Резерв на оплату отпускных уборщиков, в т.ч. Отчисления</t>
  </si>
  <si>
    <t>Ремонт стволов мусоропроводов</t>
  </si>
  <si>
    <t>2.14</t>
  </si>
  <si>
    <t>Ремонт  котловых   насосов в кот.1,2 д.51</t>
  </si>
  <si>
    <t>Замена циркуляционных насосов ГВС</t>
  </si>
  <si>
    <t>Проведение аттестации рабочих мест ( СОУТ)</t>
  </si>
  <si>
    <r>
      <t>Строительные  и расходные материалы для текущего ремонта (</t>
    </r>
    <r>
      <rPr>
        <i/>
        <sz val="11"/>
        <color rgb="FF000000"/>
        <rFont val="Times New Roman"/>
        <family val="1"/>
        <charset val="204"/>
      </rPr>
      <t>в т.ч. входные двери</t>
    </r>
    <r>
      <rPr>
        <b/>
        <i/>
        <sz val="12"/>
        <color rgb="FF000000"/>
        <rFont val="Times New Roman"/>
        <family val="1"/>
        <charset val="204"/>
      </rPr>
      <t>)</t>
    </r>
  </si>
  <si>
    <t>Непредвиденные расходы</t>
  </si>
  <si>
    <t>Плановая стоимость за работы (услуги,товары) на 2019 год</t>
  </si>
  <si>
    <t>Месячная стоимость(услуги,товары)</t>
  </si>
  <si>
    <t>ул.Кастанаевская д.51 кор.1</t>
  </si>
  <si>
    <t>д.44</t>
  </si>
  <si>
    <t>д.51</t>
  </si>
  <si>
    <r>
      <t xml:space="preserve">Строительные  и расходные материалы для текущего ремонта </t>
    </r>
    <r>
      <rPr>
        <i/>
        <sz val="12"/>
        <color rgb="FF000000"/>
        <rFont val="Times New Roman"/>
        <family val="1"/>
        <charset val="204"/>
      </rPr>
      <t>(</t>
    </r>
    <r>
      <rPr>
        <i/>
        <sz val="8"/>
        <color rgb="FF000000"/>
        <rFont val="Times New Roman"/>
        <family val="1"/>
        <charset val="204"/>
      </rPr>
      <t>в т.ч.замена входных дверей,покраска цоколя и дверей мусорокамер,подвалы (обустройство входа)</t>
    </r>
    <r>
      <rPr>
        <b/>
        <i/>
        <sz val="8"/>
        <color rgb="FF000000"/>
        <rFont val="Times New Roman"/>
        <family val="1"/>
        <charset val="204"/>
      </rPr>
      <t>,</t>
    </r>
    <r>
      <rPr>
        <i/>
        <sz val="8"/>
        <color rgb="FF000000"/>
        <rFont val="Times New Roman"/>
        <family val="1"/>
        <charset val="204"/>
      </rPr>
      <t>замена плитки на крыльце</t>
    </r>
  </si>
  <si>
    <t>Программное обеспечение, обслуживание (1С, Квартплата,Контур )</t>
  </si>
  <si>
    <t>Размещение информации на сайте ГИС ЖКХ</t>
  </si>
  <si>
    <t>фонд</t>
  </si>
  <si>
    <t>Фонд текущего ремонта, руб./кв.м.</t>
  </si>
  <si>
    <t>Ставка на содержание и ремонт ОИ (СОИ), руб/кв.м.</t>
  </si>
  <si>
    <t>Поступления по ставкам, в т.ч.</t>
  </si>
  <si>
    <t>Демонтаж 3 чугунных котлов в котел.1,3,4 д.51</t>
  </si>
  <si>
    <t xml:space="preserve">Входные группы (покраска стен) </t>
  </si>
  <si>
    <t>Косметический ремонт пдъездов  (укладка настен.плитки 1 эт., обустройство тех.помещений  , замена дверей консъержных )</t>
  </si>
  <si>
    <t>Старая структура платы</t>
  </si>
  <si>
    <t>Новая структура  платы</t>
  </si>
  <si>
    <t>Новые расчетные тарифы</t>
  </si>
  <si>
    <t xml:space="preserve"> руб.</t>
  </si>
  <si>
    <r>
      <t>Целевой взнос на обслуживание и эксплуатацию шлагбаумов 2 шт д.44 кор.1 Г.Курина(</t>
    </r>
    <r>
      <rPr>
        <sz val="8"/>
        <color theme="1"/>
        <rFont val="Calibri"/>
        <family val="2"/>
        <charset val="204"/>
        <scheme val="minor"/>
      </rPr>
      <t xml:space="preserve"> взнос на обслуживание и эксплуатацию шлагбаумов)</t>
    </r>
  </si>
  <si>
    <r>
      <t>Целевой взнос на установку шлагбаумов 2 шт д.44 кор.1 Г.Курина (</t>
    </r>
    <r>
      <rPr>
        <sz val="8"/>
        <color theme="1"/>
        <rFont val="Calibri"/>
        <family val="2"/>
        <charset val="204"/>
        <scheme val="minor"/>
      </rPr>
      <t>разовый взнос )</t>
    </r>
  </si>
  <si>
    <t xml:space="preserve">ООО </t>
  </si>
  <si>
    <t>%</t>
  </si>
  <si>
    <t>Расходы по ремонту текущего ОИ</t>
  </si>
  <si>
    <t>Тарифы</t>
  </si>
  <si>
    <t>ед. измер.</t>
  </si>
  <si>
    <t>руб./м3</t>
  </si>
  <si>
    <t>руб</t>
  </si>
  <si>
    <t>руб/л.сч</t>
  </si>
  <si>
    <t>Поступления на содержание и текущий ремонт общего имущества , в т.ч.</t>
  </si>
  <si>
    <t>Общие Расходы на содержание и текущий ремонт общего имущества 2019, в т.ч.</t>
  </si>
  <si>
    <t>СМЕТА ДОХОДОВ И РАСХОДОВ ТСЖ "ЛУЧ" на 2019 год</t>
  </si>
  <si>
    <t>Г.Курина 44</t>
  </si>
  <si>
    <t>Кастан. 51</t>
  </si>
  <si>
    <t>Отопление, руб./Гкал</t>
  </si>
  <si>
    <t>Горячее водоснабжение, руб./куб.м.</t>
  </si>
  <si>
    <t>Г. Курина 44</t>
  </si>
  <si>
    <t xml:space="preserve">Газ  (поставщик ГАЗПРОМ), м. куб., в т.ч. </t>
  </si>
  <si>
    <t>Исходящий остаток на р/сч от 31.12.2019</t>
  </si>
  <si>
    <t>Сдача в аренду мест под оборудование</t>
  </si>
  <si>
    <t>Расход по домам, руб.</t>
  </si>
  <si>
    <t>Расход общий, руб.</t>
  </si>
  <si>
    <t>Целевой взнос на обслуживание и эксплуатацию шлагбаумов 2 шт д.44 кор.1 Г.Курина</t>
  </si>
  <si>
    <t>Целевой взнос на установку шлагбаумов 2 шт д.44 кор.1 Г.Курина</t>
  </si>
  <si>
    <t>Расходы по фонду текущего ремонта</t>
  </si>
  <si>
    <r>
      <rPr>
        <sz val="12"/>
        <color rgb="FF000000"/>
        <rFont val="Times New Roman"/>
        <family val="1"/>
        <charset val="204"/>
      </rPr>
      <t xml:space="preserve">Косметический ремонт пдъездов  </t>
    </r>
    <r>
      <rPr>
        <sz val="10"/>
        <color rgb="FF000000"/>
        <rFont val="Times New Roman"/>
        <family val="1"/>
        <charset val="204"/>
      </rPr>
      <t>(укладка настен.плитки 1 эт., обустройство тех.помещений  , замена дверей консъержных )</t>
    </r>
  </si>
  <si>
    <r>
      <rPr>
        <sz val="12"/>
        <color rgb="FF000000"/>
        <rFont val="Times New Roman"/>
        <family val="1"/>
        <charset val="204"/>
      </rPr>
      <t xml:space="preserve">Строительные  и расходные материалы для текущего ремонта </t>
    </r>
    <r>
      <rPr>
        <i/>
        <sz val="10"/>
        <color rgb="FF000000"/>
        <rFont val="Times New Roman"/>
        <family val="1"/>
        <charset val="204"/>
      </rPr>
      <t>(в т.ч.замена входных дверей,покраска цоколя и дверей мусорокамер,подвалы (обустройство входа),замена плитки на крыльце</t>
    </r>
  </si>
  <si>
    <t>Содержание общего имущества, в т.ч.:</t>
  </si>
  <si>
    <t>Техническое обслуживание  лифтов</t>
  </si>
  <si>
    <t>Обслуживание системы дымоудаления и ППА</t>
  </si>
  <si>
    <r>
      <rPr>
        <b/>
        <i/>
        <sz val="13"/>
        <color theme="1"/>
        <rFont val="Times New Roman"/>
        <family val="1"/>
        <charset val="204"/>
      </rPr>
      <t xml:space="preserve">Прочее </t>
    </r>
    <r>
      <rPr>
        <b/>
        <i/>
        <sz val="11"/>
        <color theme="1"/>
        <rFont val="Times New Roman"/>
        <family val="1"/>
        <charset val="204"/>
      </rPr>
      <t>(эл.энергия, вентканалы, аварийное обслуживание)</t>
    </r>
  </si>
  <si>
    <t>1.2</t>
  </si>
  <si>
    <t>1.3</t>
  </si>
  <si>
    <t>1.4</t>
  </si>
  <si>
    <t>1.7</t>
  </si>
  <si>
    <t>1.8</t>
  </si>
  <si>
    <t>1.5</t>
  </si>
  <si>
    <t>1.6</t>
  </si>
  <si>
    <t>1.9</t>
  </si>
  <si>
    <t>1.10</t>
  </si>
  <si>
    <t>Оплата труда ИТР , рабочих ,отчисления от ФОТ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</si>
  <si>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</si>
  <si>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</si>
  <si>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</si>
  <si>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</si>
  <si>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</si>
  <si>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</si>
  <si>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</si>
  <si>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</si>
  <si>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</si>
  <si>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</si>
  <si>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</si>
  <si>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</t>
  </si>
  <si>
    <t>1.22</t>
  </si>
  <si>
    <t>1.23</t>
  </si>
  <si>
    <t>Расшифровка ставки взноса по содержанию общего имущества ТСЖ "ЛУЧ"  на 2019 год.</t>
  </si>
  <si>
    <t>Примечание: ставка на содержание общего имущества (СОИ) в размере 29,4 руб./кв.м. принимается с учетом прогнозируемого увеличения с 01.07.2019</t>
  </si>
  <si>
    <r>
      <t>Содержание крышных котельных</t>
    </r>
    <r>
      <rPr>
        <b/>
        <i/>
        <sz val="12"/>
        <color theme="1"/>
        <rFont val="Times New Roman"/>
        <family val="1"/>
        <charset val="204"/>
      </rPr>
      <t>, в том числе:</t>
    </r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</si>
  <si>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</si>
  <si>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</si>
  <si>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</si>
  <si>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</si>
  <si>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</si>
  <si>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</si>
  <si>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</si>
  <si>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</si>
  <si>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</si>
  <si>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</si>
  <si>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                               Расшифровка ставки взноса на содержание крышных котельных ТСЖ "Луч" на 2019 год                                                                                                </t>
  </si>
  <si>
    <r>
      <t>Программное обеспечение, обслуживание (</t>
    </r>
    <r>
      <rPr>
        <sz val="11"/>
        <color theme="1"/>
        <rFont val="Times New Roman"/>
        <family val="1"/>
        <charset val="204"/>
      </rPr>
      <t>1С, Квартплата,Контур )</t>
    </r>
  </si>
  <si>
    <t>Расходы по фонду текущего ремонта, в т.ч.</t>
  </si>
  <si>
    <t xml:space="preserve">                               Расшифровка ставки взноса фонда текущего ремонта ТСЖ "Луч" на 2019 год                                                                                                </t>
  </si>
  <si>
    <t>Средняя стоимость по ТСЖ      1 м2</t>
  </si>
  <si>
    <t>Месячная стоимость   (услуги,товары)</t>
  </si>
  <si>
    <t>Ставка на содержание ОИ (СОИ), руб/кв.м.</t>
  </si>
  <si>
    <t>Ставка на содержание крышных котельных, руб/кв.м.</t>
  </si>
  <si>
    <t>Ставка взноса в фонд текущего ремонта, руб./кв.м.</t>
  </si>
  <si>
    <t>Взнос на содержание ОИ (СОИ), руб/кв.м.</t>
  </si>
  <si>
    <t>Взнос на содержание крышных котельных, руб/кв.м.</t>
  </si>
  <si>
    <t>Взнос в фонд текущего ремонта, руб./кв.м.</t>
  </si>
  <si>
    <t>Целевые средства на установку шлагбаумов, в т.ч.</t>
  </si>
  <si>
    <t>Расходы на содержание общего имущества</t>
  </si>
  <si>
    <t>Расходы на содержание крышных котельных</t>
  </si>
  <si>
    <t>Установка и содержание шлагбаумов 2 шт.</t>
  </si>
  <si>
    <r>
      <rPr>
        <b/>
        <u/>
        <sz val="11"/>
        <color theme="1"/>
        <rFont val="Calibri"/>
        <family val="2"/>
        <charset val="204"/>
        <scheme val="minor"/>
      </rPr>
      <t>Ставки взносов, руб/кв.м., в т.ч</t>
    </r>
    <r>
      <rPr>
        <b/>
        <sz val="11"/>
        <color theme="1"/>
        <rFont val="Calibri"/>
        <family val="2"/>
        <charset val="204"/>
        <scheme val="minor"/>
      </rPr>
      <t>.</t>
    </r>
  </si>
  <si>
    <t>В т.ч. доход по домам, руб</t>
  </si>
  <si>
    <t>Доход по ТСЖ общий, руб.</t>
  </si>
  <si>
    <t>В общем по ТСЖ</t>
  </si>
  <si>
    <t xml:space="preserve">УТВЕРЖДЕНА </t>
  </si>
  <si>
    <t>Правлением ТСЖ "Луч"</t>
  </si>
  <si>
    <t>Протокол № 16 от 13.05.2019</t>
  </si>
  <si>
    <t>УТВЕРЖДЕНА</t>
  </si>
  <si>
    <t>Общим собранием</t>
  </si>
  <si>
    <t xml:space="preserve">см. подомовые тарифы на КУ </t>
  </si>
  <si>
    <r>
      <rPr>
        <i/>
        <u/>
        <sz val="11"/>
        <color theme="1"/>
        <rFont val="Calibri"/>
        <family val="2"/>
        <charset val="204"/>
        <scheme val="minor"/>
      </rPr>
      <t>Тарифы на коммунальные услуги, в т.ч</t>
    </r>
    <r>
      <rPr>
        <i/>
        <sz val="11"/>
        <color theme="1"/>
        <rFont val="Calibri"/>
        <family val="2"/>
        <charset val="204"/>
        <scheme val="minor"/>
      </rPr>
      <t>.</t>
    </r>
  </si>
  <si>
    <t>Протокол № ____от "___"_____2019</t>
  </si>
  <si>
    <t xml:space="preserve">см. приложения к смете </t>
  </si>
  <si>
    <t>Приложение № 1 к смете на 2019 г</t>
  </si>
  <si>
    <t>Приложение № 3 к смете на 2019 г</t>
  </si>
  <si>
    <t>Приложение № 2 к смете на 2019</t>
  </si>
</sst>
</file>

<file path=xl/styles.xml><?xml version="1.0" encoding="utf-8"?>
<styleSheet xmlns="http://schemas.openxmlformats.org/spreadsheetml/2006/main">
  <numFmts count="1">
    <numFmt numFmtId="164" formatCode="#,##0.0000000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.5"/>
      <color rgb="FF333333"/>
      <name val="Times New Roman"/>
      <family val="1"/>
      <charset val="204"/>
    </font>
    <font>
      <b/>
      <i/>
      <sz val="10"/>
      <color rgb="FF333333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color theme="7" tint="0.59999389629810485"/>
      <name val="Calibri"/>
      <family val="2"/>
      <charset val="204"/>
      <scheme val="minor"/>
    </font>
    <font>
      <sz val="11"/>
      <color theme="7" tint="0.59999389629810485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rgb="FF333333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0" tint="-4.9989318521683403E-2"/>
      <name val="Calibri"/>
      <family val="2"/>
      <charset val="204"/>
      <scheme val="minor"/>
    </font>
    <font>
      <i/>
      <sz val="11"/>
      <color theme="0" tint="-4.9989318521683403E-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8" fillId="0" borderId="0"/>
  </cellStyleXfs>
  <cellXfs count="1043">
    <xf numFmtId="0" fontId="0" fillId="0" borderId="0" xfId="0"/>
    <xf numFmtId="0" fontId="4" fillId="0" borderId="0" xfId="0" applyFont="1"/>
    <xf numFmtId="0" fontId="5" fillId="0" borderId="0" xfId="0" applyFont="1"/>
    <xf numFmtId="3" fontId="0" fillId="0" borderId="0" xfId="0" applyNumberFormat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9" fillId="0" borderId="0" xfId="0" applyFont="1"/>
    <xf numFmtId="4" fontId="2" fillId="0" borderId="0" xfId="0" applyNumberFormat="1" applyFont="1"/>
    <xf numFmtId="0" fontId="10" fillId="0" borderId="0" xfId="0" applyFont="1"/>
    <xf numFmtId="2" fontId="2" fillId="0" borderId="0" xfId="0" applyNumberFormat="1" applyFont="1"/>
    <xf numFmtId="3" fontId="2" fillId="0" borderId="1" xfId="0" applyNumberFormat="1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2" fontId="10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3" fontId="9" fillId="0" borderId="1" xfId="0" applyNumberFormat="1" applyFont="1" applyBorder="1"/>
    <xf numFmtId="3" fontId="0" fillId="0" borderId="1" xfId="0" applyNumberFormat="1" applyBorder="1"/>
    <xf numFmtId="0" fontId="0" fillId="0" borderId="3" xfId="0" applyBorder="1"/>
    <xf numFmtId="0" fontId="11" fillId="0" borderId="4" xfId="0" applyFont="1" applyBorder="1" applyAlignment="1">
      <alignment wrapText="1"/>
    </xf>
    <xf numFmtId="0" fontId="1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0" fontId="13" fillId="0" borderId="4" xfId="0" applyFont="1" applyBorder="1" applyAlignment="1">
      <alignment wrapText="1"/>
    </xf>
    <xf numFmtId="2" fontId="12" fillId="0" borderId="5" xfId="0" applyNumberFormat="1" applyFont="1" applyBorder="1" applyAlignment="1">
      <alignment wrapText="1"/>
    </xf>
    <xf numFmtId="0" fontId="0" fillId="0" borderId="6" xfId="0" applyBorder="1"/>
    <xf numFmtId="0" fontId="15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3" fontId="16" fillId="0" borderId="7" xfId="0" applyNumberFormat="1" applyFont="1" applyBorder="1"/>
    <xf numFmtId="4" fontId="16" fillId="0" borderId="7" xfId="0" applyNumberFormat="1" applyFont="1" applyBorder="1"/>
    <xf numFmtId="0" fontId="0" fillId="0" borderId="8" xfId="0" applyBorder="1"/>
    <xf numFmtId="0" fontId="17" fillId="0" borderId="9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3" fontId="19" fillId="0" borderId="1" xfId="0" applyNumberFormat="1" applyFont="1" applyBorder="1"/>
    <xf numFmtId="0" fontId="19" fillId="0" borderId="1" xfId="0" applyFont="1" applyBorder="1"/>
    <xf numFmtId="3" fontId="20" fillId="0" borderId="1" xfId="0" applyNumberFormat="1" applyFont="1" applyBorder="1"/>
    <xf numFmtId="0" fontId="21" fillId="0" borderId="0" xfId="0" applyFont="1" applyAlignment="1">
      <alignment horizontal="left" wrapText="1"/>
    </xf>
    <xf numFmtId="0" fontId="18" fillId="0" borderId="7" xfId="0" applyFont="1" applyBorder="1" applyAlignment="1">
      <alignment horizontal="center" wrapText="1"/>
    </xf>
    <xf numFmtId="3" fontId="16" fillId="0" borderId="10" xfId="0" applyNumberFormat="1" applyFont="1" applyBorder="1"/>
    <xf numFmtId="4" fontId="16" fillId="0" borderId="10" xfId="0" applyNumberFormat="1" applyFont="1" applyBorder="1"/>
    <xf numFmtId="49" fontId="0" fillId="0" borderId="11" xfId="0" applyNumberFormat="1" applyBorder="1"/>
    <xf numFmtId="0" fontId="22" fillId="0" borderId="12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3" fontId="24" fillId="0" borderId="13" xfId="0" applyNumberFormat="1" applyFont="1" applyBorder="1"/>
    <xf numFmtId="3" fontId="24" fillId="0" borderId="12" xfId="0" applyNumberFormat="1" applyFont="1" applyBorder="1"/>
    <xf numFmtId="2" fontId="0" fillId="0" borderId="14" xfId="0" applyNumberFormat="1" applyBorder="1"/>
    <xf numFmtId="3" fontId="20" fillId="0" borderId="14" xfId="0" applyNumberFormat="1" applyFont="1" applyBorder="1"/>
    <xf numFmtId="0" fontId="0" fillId="0" borderId="0" xfId="0" applyAlignment="1">
      <alignment wrapText="1"/>
    </xf>
    <xf numFmtId="49" fontId="0" fillId="0" borderId="15" xfId="0" applyNumberFormat="1" applyBorder="1"/>
    <xf numFmtId="0" fontId="22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3" fontId="19" fillId="0" borderId="17" xfId="0" applyNumberFormat="1" applyFont="1" applyBorder="1"/>
    <xf numFmtId="0" fontId="23" fillId="0" borderId="17" xfId="0" applyFont="1" applyBorder="1" applyAlignment="1">
      <alignment wrapText="1"/>
    </xf>
    <xf numFmtId="49" fontId="26" fillId="0" borderId="15" xfId="0" applyNumberFormat="1" applyFont="1" applyBorder="1"/>
    <xf numFmtId="3" fontId="19" fillId="0" borderId="13" xfId="0" applyNumberFormat="1" applyFont="1" applyBorder="1"/>
    <xf numFmtId="0" fontId="27" fillId="0" borderId="12" xfId="0" applyFont="1" applyBorder="1" applyAlignment="1">
      <alignment wrapText="1"/>
    </xf>
    <xf numFmtId="0" fontId="7" fillId="0" borderId="7" xfId="0" applyFont="1" applyBorder="1"/>
    <xf numFmtId="49" fontId="0" fillId="0" borderId="0" xfId="0" applyNumberFormat="1"/>
    <xf numFmtId="3" fontId="24" fillId="0" borderId="17" xfId="0" applyNumberFormat="1" applyFont="1" applyBorder="1"/>
    <xf numFmtId="0" fontId="28" fillId="0" borderId="0" xfId="0" applyFont="1"/>
    <xf numFmtId="0" fontId="31" fillId="0" borderId="16" xfId="0" applyFont="1" applyBorder="1" applyAlignment="1">
      <alignment wrapText="1"/>
    </xf>
    <xf numFmtId="0" fontId="32" fillId="0" borderId="17" xfId="0" applyFont="1" applyBorder="1" applyAlignment="1">
      <alignment wrapText="1"/>
    </xf>
    <xf numFmtId="49" fontId="2" fillId="0" borderId="8" xfId="0" applyNumberFormat="1" applyFont="1" applyBorder="1"/>
    <xf numFmtId="0" fontId="17" fillId="0" borderId="4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3" fontId="33" fillId="0" borderId="3" xfId="0" applyNumberFormat="1" applyFont="1" applyBorder="1"/>
    <xf numFmtId="4" fontId="16" fillId="0" borderId="3" xfId="0" applyNumberFormat="1" applyFont="1" applyBorder="1"/>
    <xf numFmtId="3" fontId="16" fillId="0" borderId="3" xfId="0" applyNumberFormat="1" applyFont="1" applyBorder="1"/>
    <xf numFmtId="0" fontId="34" fillId="0" borderId="16" xfId="0" applyFont="1" applyBorder="1" applyAlignment="1">
      <alignment wrapText="1"/>
    </xf>
    <xf numFmtId="0" fontId="35" fillId="0" borderId="17" xfId="0" applyFont="1" applyBorder="1" applyAlignment="1">
      <alignment wrapText="1"/>
    </xf>
    <xf numFmtId="49" fontId="0" fillId="0" borderId="6" xfId="0" applyNumberFormat="1" applyBorder="1"/>
    <xf numFmtId="0" fontId="34" fillId="0" borderId="0" xfId="0" applyFont="1" applyAlignment="1">
      <alignment wrapText="1"/>
    </xf>
    <xf numFmtId="0" fontId="35" fillId="0" borderId="7" xfId="0" applyFont="1" applyBorder="1" applyAlignment="1">
      <alignment wrapText="1"/>
    </xf>
    <xf numFmtId="3" fontId="19" fillId="0" borderId="7" xfId="0" applyNumberFormat="1" applyFont="1" applyBorder="1"/>
    <xf numFmtId="3" fontId="24" fillId="0" borderId="0" xfId="0" applyNumberFormat="1" applyFont="1"/>
    <xf numFmtId="3" fontId="20" fillId="0" borderId="18" xfId="0" applyNumberFormat="1" applyFont="1" applyBorder="1"/>
    <xf numFmtId="49" fontId="0" fillId="0" borderId="8" xfId="0" applyNumberFormat="1" applyBorder="1"/>
    <xf numFmtId="0" fontId="36" fillId="0" borderId="4" xfId="0" applyFont="1" applyBorder="1" applyAlignment="1">
      <alignment horizontal="center" wrapText="1"/>
    </xf>
    <xf numFmtId="0" fontId="37" fillId="0" borderId="3" xfId="0" applyFont="1" applyBorder="1" applyAlignment="1">
      <alignment horizontal="center" wrapText="1"/>
    </xf>
    <xf numFmtId="2" fontId="10" fillId="0" borderId="14" xfId="0" applyNumberFormat="1" applyFont="1" applyBorder="1"/>
    <xf numFmtId="3" fontId="25" fillId="0" borderId="14" xfId="0" applyNumberFormat="1" applyFont="1" applyBorder="1"/>
    <xf numFmtId="0" fontId="23" fillId="0" borderId="7" xfId="0" applyFont="1" applyBorder="1" applyAlignment="1">
      <alignment wrapText="1"/>
    </xf>
    <xf numFmtId="49" fontId="0" fillId="0" borderId="24" xfId="0" applyNumberFormat="1" applyBorder="1"/>
    <xf numFmtId="0" fontId="35" fillId="0" borderId="13" xfId="0" applyFont="1" applyBorder="1" applyAlignment="1">
      <alignment wrapText="1"/>
    </xf>
    <xf numFmtId="49" fontId="13" fillId="0" borderId="28" xfId="0" applyNumberFormat="1" applyFont="1" applyBorder="1"/>
    <xf numFmtId="0" fontId="39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3" fontId="30" fillId="0" borderId="10" xfId="0" applyNumberFormat="1" applyFont="1" applyBorder="1"/>
    <xf numFmtId="4" fontId="30" fillId="0" borderId="10" xfId="0" applyNumberFormat="1" applyFont="1" applyBorder="1"/>
    <xf numFmtId="49" fontId="0" fillId="0" borderId="29" xfId="0" applyNumberFormat="1" applyBorder="1"/>
    <xf numFmtId="0" fontId="29" fillId="0" borderId="30" xfId="0" applyFont="1" applyBorder="1" applyAlignment="1">
      <alignment horizontal="left" wrapText="1"/>
    </xf>
    <xf numFmtId="0" fontId="18" fillId="0" borderId="31" xfId="0" applyFont="1" applyBorder="1" applyAlignment="1">
      <alignment horizontal="left" wrapText="1"/>
    </xf>
    <xf numFmtId="3" fontId="33" fillId="0" borderId="31" xfId="0" applyNumberFormat="1" applyFont="1" applyBorder="1"/>
    <xf numFmtId="3" fontId="24" fillId="0" borderId="7" xfId="0" applyNumberFormat="1" applyFont="1" applyBorder="1"/>
    <xf numFmtId="2" fontId="3" fillId="0" borderId="18" xfId="0" applyNumberFormat="1" applyFont="1" applyBorder="1"/>
    <xf numFmtId="3" fontId="20" fillId="0" borderId="27" xfId="0" applyNumberFormat="1" applyFont="1" applyBorder="1"/>
    <xf numFmtId="3" fontId="20" fillId="0" borderId="22" xfId="0" applyNumberFormat="1" applyFont="1" applyBorder="1"/>
    <xf numFmtId="3" fontId="24" fillId="0" borderId="32" xfId="0" applyNumberFormat="1" applyFont="1" applyBorder="1"/>
    <xf numFmtId="2" fontId="10" fillId="0" borderId="32" xfId="0" applyNumberFormat="1" applyFont="1" applyBorder="1"/>
    <xf numFmtId="3" fontId="20" fillId="0" borderId="32" xfId="0" applyNumberFormat="1" applyFont="1" applyBorder="1"/>
    <xf numFmtId="0" fontId="29" fillId="0" borderId="30" xfId="0" applyFont="1" applyBorder="1" applyAlignment="1">
      <alignment wrapText="1"/>
    </xf>
    <xf numFmtId="0" fontId="18" fillId="0" borderId="31" xfId="0" applyFont="1" applyBorder="1" applyAlignment="1">
      <alignment wrapText="1"/>
    </xf>
    <xf numFmtId="3" fontId="19" fillId="0" borderId="31" xfId="0" applyNumberFormat="1" applyFont="1" applyBorder="1"/>
    <xf numFmtId="3" fontId="24" fillId="0" borderId="28" xfId="0" applyNumberFormat="1" applyFont="1" applyBorder="1"/>
    <xf numFmtId="2" fontId="10" fillId="0" borderId="28" xfId="0" applyNumberFormat="1" applyFont="1" applyBorder="1"/>
    <xf numFmtId="3" fontId="20" fillId="0" borderId="33" xfId="0" applyNumberFormat="1" applyFont="1" applyBorder="1"/>
    <xf numFmtId="3" fontId="24" fillId="0" borderId="31" xfId="0" applyNumberFormat="1" applyFont="1" applyBorder="1"/>
    <xf numFmtId="2" fontId="10" fillId="0" borderId="33" xfId="0" applyNumberFormat="1" applyFont="1" applyBorder="1"/>
    <xf numFmtId="3" fontId="20" fillId="0" borderId="28" xfId="0" applyNumberFormat="1" applyFont="1" applyBorder="1"/>
    <xf numFmtId="49" fontId="26" fillId="0" borderId="11" xfId="0" applyNumberFormat="1" applyFont="1" applyBorder="1"/>
    <xf numFmtId="0" fontId="31" fillId="0" borderId="12" xfId="0" applyFont="1" applyBorder="1" applyAlignment="1">
      <alignment wrapText="1"/>
    </xf>
    <xf numFmtId="0" fontId="32" fillId="0" borderId="13" xfId="0" applyFont="1" applyBorder="1" applyAlignment="1">
      <alignment wrapText="1"/>
    </xf>
    <xf numFmtId="0" fontId="26" fillId="0" borderId="0" xfId="0" applyFont="1"/>
    <xf numFmtId="0" fontId="7" fillId="0" borderId="1" xfId="0" applyFont="1" applyBorder="1" applyAlignment="1">
      <alignment wrapText="1"/>
    </xf>
    <xf numFmtId="3" fontId="24" fillId="0" borderId="1" xfId="0" applyNumberFormat="1" applyFont="1" applyBorder="1"/>
    <xf numFmtId="2" fontId="10" fillId="0" borderId="20" xfId="0" applyNumberFormat="1" applyFont="1" applyBorder="1"/>
    <xf numFmtId="0" fontId="7" fillId="0" borderId="26" xfId="0" applyFont="1" applyBorder="1" applyAlignment="1">
      <alignment wrapText="1"/>
    </xf>
    <xf numFmtId="3" fontId="19" fillId="0" borderId="26" xfId="0" applyNumberFormat="1" applyFont="1" applyBorder="1"/>
    <xf numFmtId="0" fontId="7" fillId="0" borderId="22" xfId="0" applyFont="1" applyBorder="1" applyAlignment="1">
      <alignment wrapText="1"/>
    </xf>
    <xf numFmtId="3" fontId="19" fillId="0" borderId="22" xfId="0" applyNumberFormat="1" applyFont="1" applyBorder="1"/>
    <xf numFmtId="0" fontId="7" fillId="0" borderId="34" xfId="0" applyFont="1" applyBorder="1"/>
    <xf numFmtId="3" fontId="24" fillId="0" borderId="34" xfId="0" applyNumberFormat="1" applyFont="1" applyBorder="1"/>
    <xf numFmtId="0" fontId="2" fillId="0" borderId="5" xfId="0" applyFont="1" applyBorder="1"/>
    <xf numFmtId="0" fontId="9" fillId="0" borderId="35" xfId="0" applyFont="1" applyBorder="1"/>
    <xf numFmtId="3" fontId="42" fillId="0" borderId="36" xfId="0" applyNumberFormat="1" applyFont="1" applyBorder="1"/>
    <xf numFmtId="4" fontId="13" fillId="0" borderId="36" xfId="0" applyNumberFormat="1" applyFont="1" applyBorder="1"/>
    <xf numFmtId="0" fontId="44" fillId="0" borderId="0" xfId="0" applyFont="1"/>
    <xf numFmtId="3" fontId="13" fillId="0" borderId="0" xfId="0" applyNumberFormat="1" applyFont="1"/>
    <xf numFmtId="3" fontId="45" fillId="0" borderId="0" xfId="0" applyNumberFormat="1" applyFont="1"/>
    <xf numFmtId="3" fontId="46" fillId="0" borderId="0" xfId="0" applyNumberFormat="1" applyFont="1"/>
    <xf numFmtId="49" fontId="0" fillId="2" borderId="8" xfId="0" applyNumberFormat="1" applyFill="1" applyBorder="1"/>
    <xf numFmtId="0" fontId="4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" fontId="14" fillId="2" borderId="36" xfId="0" applyNumberFormat="1" applyFont="1" applyFill="1" applyBorder="1"/>
    <xf numFmtId="49" fontId="0" fillId="2" borderId="6" xfId="0" applyNumberFormat="1" applyFill="1" applyBorder="1"/>
    <xf numFmtId="0" fontId="47" fillId="2" borderId="0" xfId="0" applyFont="1" applyFill="1" applyAlignment="1">
      <alignment wrapText="1"/>
    </xf>
    <xf numFmtId="0" fontId="7" fillId="2" borderId="18" xfId="0" applyFont="1" applyFill="1" applyBorder="1" applyAlignment="1">
      <alignment wrapText="1"/>
    </xf>
    <xf numFmtId="4" fontId="14" fillId="2" borderId="0" xfId="0" applyNumberFormat="1" applyFont="1" applyFill="1"/>
    <xf numFmtId="0" fontId="11" fillId="0" borderId="12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3" fontId="27" fillId="0" borderId="1" xfId="0" applyNumberFormat="1" applyFont="1" applyBorder="1"/>
    <xf numFmtId="3" fontId="38" fillId="0" borderId="1" xfId="0" applyNumberFormat="1" applyFont="1" applyBorder="1"/>
    <xf numFmtId="3" fontId="49" fillId="0" borderId="1" xfId="1" applyNumberFormat="1" applyFont="1" applyBorder="1" applyAlignment="1">
      <alignment horizontal="right" vertical="top" wrapText="1"/>
    </xf>
    <xf numFmtId="4" fontId="23" fillId="0" borderId="14" xfId="0" applyNumberFormat="1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3" fontId="27" fillId="0" borderId="26" xfId="0" applyNumberFormat="1" applyFont="1" applyBorder="1"/>
    <xf numFmtId="3" fontId="27" fillId="0" borderId="25" xfId="0" applyNumberFormat="1" applyFont="1" applyBorder="1"/>
    <xf numFmtId="0" fontId="0" fillId="0" borderId="21" xfId="0" applyBorder="1"/>
    <xf numFmtId="3" fontId="23" fillId="0" borderId="1" xfId="0" applyNumberFormat="1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3" fontId="15" fillId="0" borderId="1" xfId="0" applyNumberFormat="1" applyFont="1" applyBorder="1"/>
    <xf numFmtId="3" fontId="50" fillId="0" borderId="1" xfId="0" applyNumberFormat="1" applyFont="1" applyBorder="1"/>
    <xf numFmtId="4" fontId="15" fillId="0" borderId="1" xfId="0" applyNumberFormat="1" applyFont="1" applyBorder="1"/>
    <xf numFmtId="49" fontId="0" fillId="0" borderId="1" xfId="0" applyNumberFormat="1" applyBorder="1"/>
    <xf numFmtId="0" fontId="27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3" fontId="10" fillId="0" borderId="0" xfId="0" applyNumberFormat="1" applyFont="1"/>
    <xf numFmtId="0" fontId="51" fillId="3" borderId="0" xfId="0" applyFont="1" applyFill="1"/>
    <xf numFmtId="4" fontId="0" fillId="0" borderId="1" xfId="0" applyNumberFormat="1" applyBorder="1"/>
    <xf numFmtId="4" fontId="0" fillId="0" borderId="0" xfId="0" applyNumberFormat="1"/>
    <xf numFmtId="0" fontId="33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6" fillId="0" borderId="1" xfId="0" applyFont="1" applyBorder="1"/>
    <xf numFmtId="3" fontId="1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16" fillId="0" borderId="0" xfId="0" applyFont="1"/>
    <xf numFmtId="0" fontId="33" fillId="0" borderId="1" xfId="0" applyFont="1" applyBorder="1"/>
    <xf numFmtId="0" fontId="14" fillId="0" borderId="1" xfId="0" applyFont="1" applyBorder="1" applyAlignment="1">
      <alignment wrapText="1"/>
    </xf>
    <xf numFmtId="0" fontId="5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0" fillId="0" borderId="23" xfId="0" applyBorder="1"/>
    <xf numFmtId="0" fontId="0" fillId="0" borderId="4" xfId="0" applyBorder="1"/>
    <xf numFmtId="0" fontId="2" fillId="0" borderId="0" xfId="0" applyFont="1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3" fillId="0" borderId="0" xfId="0" applyFont="1" applyAlignment="1">
      <alignment wrapText="1"/>
    </xf>
    <xf numFmtId="3" fontId="33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41" fillId="0" borderId="14" xfId="0" applyNumberFormat="1" applyFont="1" applyBorder="1"/>
    <xf numFmtId="0" fontId="41" fillId="0" borderId="0" xfId="0" applyFont="1"/>
    <xf numFmtId="0" fontId="43" fillId="0" borderId="3" xfId="0" applyFont="1" applyBorder="1" applyAlignment="1">
      <alignment wrapText="1"/>
    </xf>
    <xf numFmtId="3" fontId="10" fillId="0" borderId="1" xfId="0" applyNumberFormat="1" applyFont="1" applyBorder="1"/>
    <xf numFmtId="0" fontId="22" fillId="0" borderId="1" xfId="0" applyFont="1" applyBorder="1" applyAlignment="1">
      <alignment wrapText="1"/>
    </xf>
    <xf numFmtId="0" fontId="22" fillId="0" borderId="0" xfId="0" applyFont="1" applyAlignment="1">
      <alignment wrapText="1"/>
    </xf>
    <xf numFmtId="3" fontId="24" fillId="0" borderId="38" xfId="0" applyNumberFormat="1" applyFont="1" applyBorder="1"/>
    <xf numFmtId="2" fontId="0" fillId="0" borderId="18" xfId="0" applyNumberFormat="1" applyBorder="1"/>
    <xf numFmtId="49" fontId="41" fillId="0" borderId="11" xfId="0" applyNumberFormat="1" applyFont="1" applyBorder="1"/>
    <xf numFmtId="0" fontId="22" fillId="0" borderId="13" xfId="0" applyFont="1" applyBorder="1" applyAlignment="1">
      <alignment wrapText="1"/>
    </xf>
    <xf numFmtId="49" fontId="41" fillId="0" borderId="24" xfId="0" applyNumberFormat="1" applyFont="1" applyBorder="1"/>
    <xf numFmtId="0" fontId="31" fillId="0" borderId="2" xfId="0" applyFont="1" applyBorder="1" applyAlignment="1">
      <alignment wrapText="1"/>
    </xf>
    <xf numFmtId="0" fontId="22" fillId="0" borderId="22" xfId="0" applyFont="1" applyBorder="1" applyAlignment="1">
      <alignment wrapText="1"/>
    </xf>
    <xf numFmtId="2" fontId="41" fillId="0" borderId="18" xfId="0" applyNumberFormat="1" applyFont="1" applyBorder="1"/>
    <xf numFmtId="0" fontId="21" fillId="0" borderId="4" xfId="0" applyFont="1" applyBorder="1" applyAlignment="1">
      <alignment wrapText="1"/>
    </xf>
    <xf numFmtId="0" fontId="14" fillId="0" borderId="0" xfId="0" applyFont="1"/>
    <xf numFmtId="0" fontId="22" fillId="0" borderId="2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49" fontId="14" fillId="0" borderId="8" xfId="0" applyNumberFormat="1" applyFont="1" applyBorder="1"/>
    <xf numFmtId="0" fontId="18" fillId="0" borderId="3" xfId="0" applyFont="1" applyBorder="1" applyAlignment="1">
      <alignment wrapText="1"/>
    </xf>
    <xf numFmtId="3" fontId="30" fillId="0" borderId="4" xfId="0" applyNumberFormat="1" applyFont="1" applyBorder="1"/>
    <xf numFmtId="2" fontId="14" fillId="0" borderId="5" xfId="0" applyNumberFormat="1" applyFont="1" applyBorder="1"/>
    <xf numFmtId="3" fontId="16" fillId="0" borderId="5" xfId="0" applyNumberFormat="1" applyFont="1" applyBorder="1"/>
    <xf numFmtId="49" fontId="28" fillId="0" borderId="6" xfId="0" applyNumberFormat="1" applyFont="1" applyBorder="1"/>
    <xf numFmtId="0" fontId="18" fillId="0" borderId="7" xfId="0" applyFont="1" applyBorder="1" applyAlignment="1">
      <alignment wrapText="1"/>
    </xf>
    <xf numFmtId="3" fontId="30" fillId="0" borderId="0" xfId="0" applyNumberFormat="1" applyFont="1"/>
    <xf numFmtId="2" fontId="28" fillId="0" borderId="18" xfId="0" applyNumberFormat="1" applyFont="1" applyBorder="1"/>
    <xf numFmtId="3" fontId="16" fillId="0" borderId="18" xfId="0" applyNumberFormat="1" applyFont="1" applyBorder="1"/>
    <xf numFmtId="0" fontId="35" fillId="0" borderId="22" xfId="0" applyFont="1" applyBorder="1" applyAlignment="1">
      <alignment wrapText="1"/>
    </xf>
    <xf numFmtId="3" fontId="24" fillId="0" borderId="22" xfId="0" applyNumberFormat="1" applyFont="1" applyBorder="1"/>
    <xf numFmtId="2" fontId="10" fillId="0" borderId="18" xfId="0" applyNumberFormat="1" applyFont="1" applyBorder="1"/>
    <xf numFmtId="3" fontId="25" fillId="0" borderId="18" xfId="0" applyNumberFormat="1" applyFont="1" applyBorder="1"/>
    <xf numFmtId="0" fontId="34" fillId="0" borderId="12" xfId="0" applyFont="1" applyBorder="1" applyAlignment="1">
      <alignment wrapText="1"/>
    </xf>
    <xf numFmtId="0" fontId="53" fillId="0" borderId="4" xfId="0" applyFont="1" applyBorder="1" applyAlignment="1">
      <alignment wrapText="1"/>
    </xf>
    <xf numFmtId="0" fontId="35" fillId="0" borderId="3" xfId="0" applyFont="1" applyBorder="1" applyAlignment="1">
      <alignment wrapText="1"/>
    </xf>
    <xf numFmtId="3" fontId="24" fillId="0" borderId="3" xfId="0" applyNumberFormat="1" applyFont="1" applyBorder="1"/>
    <xf numFmtId="3" fontId="24" fillId="0" borderId="4" xfId="0" applyNumberFormat="1" applyFont="1" applyBorder="1"/>
    <xf numFmtId="2" fontId="10" fillId="0" borderId="5" xfId="0" applyNumberFormat="1" applyFont="1" applyBorder="1"/>
    <xf numFmtId="3" fontId="25" fillId="0" borderId="5" xfId="0" applyNumberFormat="1" applyFont="1" applyBorder="1"/>
    <xf numFmtId="0" fontId="34" fillId="0" borderId="2" xfId="0" applyFont="1" applyBorder="1" applyAlignment="1">
      <alignment wrapText="1"/>
    </xf>
    <xf numFmtId="0" fontId="54" fillId="0" borderId="4" xfId="0" applyFont="1" applyBorder="1" applyAlignment="1">
      <alignment wrapText="1"/>
    </xf>
    <xf numFmtId="0" fontId="32" fillId="0" borderId="3" xfId="0" applyFont="1" applyBorder="1" applyAlignment="1">
      <alignment wrapText="1"/>
    </xf>
    <xf numFmtId="3" fontId="20" fillId="0" borderId="5" xfId="0" applyNumberFormat="1" applyFont="1" applyBorder="1"/>
    <xf numFmtId="0" fontId="22" fillId="0" borderId="26" xfId="0" applyFont="1" applyBorder="1" applyAlignment="1">
      <alignment wrapText="1"/>
    </xf>
    <xf numFmtId="0" fontId="22" fillId="0" borderId="34" xfId="0" applyFont="1" applyBorder="1"/>
    <xf numFmtId="3" fontId="24" fillId="0" borderId="27" xfId="0" applyNumberFormat="1" applyFont="1" applyBorder="1"/>
    <xf numFmtId="3" fontId="24" fillId="0" borderId="39" xfId="0" applyNumberFormat="1" applyFont="1" applyBorder="1"/>
    <xf numFmtId="3" fontId="25" fillId="0" borderId="28" xfId="0" applyNumberFormat="1" applyFont="1" applyBorder="1"/>
    <xf numFmtId="3" fontId="24" fillId="0" borderId="20" xfId="0" applyNumberFormat="1" applyFont="1" applyBorder="1"/>
    <xf numFmtId="2" fontId="10" fillId="0" borderId="16" xfId="0" applyNumberFormat="1" applyFont="1" applyBorder="1"/>
    <xf numFmtId="3" fontId="25" fillId="0" borderId="16" xfId="0" applyNumberFormat="1" applyFont="1" applyBorder="1"/>
    <xf numFmtId="0" fontId="55" fillId="0" borderId="1" xfId="0" applyFont="1" applyBorder="1"/>
    <xf numFmtId="0" fontId="17" fillId="0" borderId="0" xfId="0" applyFont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3" fontId="19" fillId="0" borderId="0" xfId="0" applyNumberFormat="1" applyFont="1"/>
    <xf numFmtId="0" fontId="19" fillId="0" borderId="0" xfId="0" applyFont="1"/>
    <xf numFmtId="3" fontId="20" fillId="0" borderId="0" xfId="0" applyNumberFormat="1" applyFont="1"/>
    <xf numFmtId="49" fontId="2" fillId="0" borderId="28" xfId="0" applyNumberFormat="1" applyFont="1" applyBorder="1"/>
    <xf numFmtId="0" fontId="21" fillId="0" borderId="39" xfId="0" applyFont="1" applyBorder="1"/>
    <xf numFmtId="0" fontId="2" fillId="0" borderId="39" xfId="0" applyFont="1" applyBorder="1"/>
    <xf numFmtId="3" fontId="33" fillId="0" borderId="39" xfId="0" applyNumberFormat="1" applyFont="1" applyBorder="1"/>
    <xf numFmtId="4" fontId="16" fillId="0" borderId="39" xfId="0" applyNumberFormat="1" applyFont="1" applyBorder="1"/>
    <xf numFmtId="0" fontId="7" fillId="0" borderId="1" xfId="0" applyFont="1" applyBorder="1"/>
    <xf numFmtId="49" fontId="0" fillId="0" borderId="28" xfId="0" applyNumberFormat="1" applyBorder="1"/>
    <xf numFmtId="0" fontId="32" fillId="0" borderId="10" xfId="0" applyFont="1" applyBorder="1" applyAlignment="1">
      <alignment wrapText="1"/>
    </xf>
    <xf numFmtId="4" fontId="33" fillId="0" borderId="3" xfId="0" applyNumberFormat="1" applyFont="1" applyBorder="1"/>
    <xf numFmtId="4" fontId="13" fillId="0" borderId="0" xfId="0" applyNumberFormat="1" applyFont="1"/>
    <xf numFmtId="3" fontId="0" fillId="0" borderId="20" xfId="0" applyNumberFormat="1" applyBorder="1"/>
    <xf numFmtId="3" fontId="19" fillId="0" borderId="20" xfId="0" applyNumberFormat="1" applyFont="1" applyBorder="1"/>
    <xf numFmtId="3" fontId="41" fillId="0" borderId="20" xfId="0" applyNumberFormat="1" applyFont="1" applyBorder="1"/>
    <xf numFmtId="3" fontId="16" fillId="0" borderId="20" xfId="0" applyNumberFormat="1" applyFont="1" applyBorder="1"/>
    <xf numFmtId="3" fontId="10" fillId="0" borderId="20" xfId="0" applyNumberFormat="1" applyFont="1" applyBorder="1"/>
    <xf numFmtId="0" fontId="6" fillId="0" borderId="1" xfId="0" applyFont="1" applyBorder="1"/>
    <xf numFmtId="0" fontId="14" fillId="0" borderId="1" xfId="0" applyFont="1" applyBorder="1"/>
    <xf numFmtId="0" fontId="0" fillId="0" borderId="15" xfId="0" applyBorder="1"/>
    <xf numFmtId="0" fontId="0" fillId="0" borderId="42" xfId="0" applyBorder="1"/>
    <xf numFmtId="0" fontId="57" fillId="0" borderId="18" xfId="0" applyFont="1" applyBorder="1" applyAlignment="1">
      <alignment wrapText="1"/>
    </xf>
    <xf numFmtId="0" fontId="57" fillId="0" borderId="42" xfId="0" applyFont="1" applyBorder="1" applyAlignment="1">
      <alignment wrapText="1"/>
    </xf>
    <xf numFmtId="3" fontId="0" fillId="0" borderId="15" xfId="0" applyNumberFormat="1" applyBorder="1"/>
    <xf numFmtId="3" fontId="0" fillId="0" borderId="42" xfId="0" applyNumberFormat="1" applyBorder="1"/>
    <xf numFmtId="0" fontId="57" fillId="0" borderId="19" xfId="0" applyFont="1" applyBorder="1" applyAlignment="1">
      <alignment wrapText="1"/>
    </xf>
    <xf numFmtId="0" fontId="0" fillId="0" borderId="17" xfId="0" applyBorder="1"/>
    <xf numFmtId="0" fontId="57" fillId="0" borderId="17" xfId="0" applyFont="1" applyBorder="1" applyAlignment="1">
      <alignment wrapText="1"/>
    </xf>
    <xf numFmtId="3" fontId="0" fillId="0" borderId="17" xfId="0" applyNumberFormat="1" applyBorder="1"/>
    <xf numFmtId="0" fontId="6" fillId="0" borderId="19" xfId="0" applyFont="1" applyBorder="1" applyAlignment="1">
      <alignment wrapText="1"/>
    </xf>
    <xf numFmtId="0" fontId="6" fillId="0" borderId="17" xfId="0" applyFont="1" applyBorder="1"/>
    <xf numFmtId="0" fontId="14" fillId="0" borderId="17" xfId="0" applyFont="1" applyBorder="1"/>
    <xf numFmtId="0" fontId="20" fillId="0" borderId="22" xfId="0" applyFont="1" applyBorder="1"/>
    <xf numFmtId="3" fontId="20" fillId="0" borderId="24" xfId="0" applyNumberFormat="1" applyFont="1" applyBorder="1"/>
    <xf numFmtId="3" fontId="20" fillId="0" borderId="26" xfId="0" applyNumberFormat="1" applyFont="1" applyBorder="1"/>
    <xf numFmtId="3" fontId="20" fillId="0" borderId="43" xfId="0" applyNumberFormat="1" applyFont="1" applyBorder="1"/>
    <xf numFmtId="0" fontId="14" fillId="0" borderId="3" xfId="0" applyFont="1" applyBorder="1"/>
    <xf numFmtId="3" fontId="2" fillId="0" borderId="8" xfId="0" applyNumberFormat="1" applyFont="1" applyBorder="1"/>
    <xf numFmtId="3" fontId="2" fillId="0" borderId="36" xfId="0" applyNumberFormat="1" applyFont="1" applyBorder="1"/>
    <xf numFmtId="3" fontId="2" fillId="0" borderId="44" xfId="0" applyNumberFormat="1" applyFont="1" applyBorder="1"/>
    <xf numFmtId="3" fontId="2" fillId="0" borderId="3" xfId="0" applyNumberFormat="1" applyFont="1" applyBorder="1"/>
    <xf numFmtId="0" fontId="20" fillId="0" borderId="26" xfId="0" applyFont="1" applyBorder="1"/>
    <xf numFmtId="0" fontId="14" fillId="0" borderId="8" xfId="0" applyFont="1" applyBorder="1"/>
    <xf numFmtId="3" fontId="20" fillId="0" borderId="20" xfId="0" applyNumberFormat="1" applyFont="1" applyBorder="1"/>
    <xf numFmtId="0" fontId="14" fillId="0" borderId="38" xfId="0" applyFont="1" applyBorder="1" applyAlignment="1">
      <alignment wrapText="1"/>
    </xf>
    <xf numFmtId="3" fontId="16" fillId="0" borderId="28" xfId="0" applyNumberFormat="1" applyFont="1" applyBorder="1"/>
    <xf numFmtId="3" fontId="33" fillId="0" borderId="5" xfId="0" applyNumberFormat="1" applyFont="1" applyBorder="1"/>
    <xf numFmtId="4" fontId="33" fillId="0" borderId="5" xfId="0" applyNumberFormat="1" applyFont="1" applyBorder="1"/>
    <xf numFmtId="3" fontId="30" fillId="0" borderId="28" xfId="0" applyNumberFormat="1" applyFont="1" applyBorder="1"/>
    <xf numFmtId="3" fontId="42" fillId="0" borderId="9" xfId="0" applyNumberFormat="1" applyFont="1" applyBorder="1"/>
    <xf numFmtId="49" fontId="0" fillId="0" borderId="1" xfId="0" applyNumberFormat="1" applyBorder="1" applyAlignment="1">
      <alignment wrapText="1"/>
    </xf>
    <xf numFmtId="49" fontId="2" fillId="0" borderId="1" xfId="0" applyNumberFormat="1" applyFont="1" applyBorder="1"/>
    <xf numFmtId="49" fontId="41" fillId="0" borderId="1" xfId="0" applyNumberFormat="1" applyFont="1" applyBorder="1"/>
    <xf numFmtId="0" fontId="41" fillId="0" borderId="1" xfId="0" applyFont="1" applyBorder="1"/>
    <xf numFmtId="49" fontId="14" fillId="0" borderId="1" xfId="0" applyNumberFormat="1" applyFont="1" applyBorder="1"/>
    <xf numFmtId="49" fontId="28" fillId="0" borderId="1" xfId="0" applyNumberFormat="1" applyFont="1" applyBorder="1"/>
    <xf numFmtId="0" fontId="28" fillId="0" borderId="1" xfId="0" applyFont="1" applyBorder="1"/>
    <xf numFmtId="49" fontId="25" fillId="0" borderId="1" xfId="0" applyNumberFormat="1" applyFont="1" applyBorder="1" applyAlignment="1">
      <alignment wrapText="1"/>
    </xf>
    <xf numFmtId="49" fontId="26" fillId="0" borderId="1" xfId="0" applyNumberFormat="1" applyFont="1" applyBorder="1"/>
    <xf numFmtId="0" fontId="58" fillId="0" borderId="3" xfId="0" applyFont="1" applyBorder="1" applyAlignment="1">
      <alignment wrapText="1"/>
    </xf>
    <xf numFmtId="0" fontId="58" fillId="0" borderId="5" xfId="0" applyFont="1" applyBorder="1" applyAlignment="1">
      <alignment wrapText="1"/>
    </xf>
    <xf numFmtId="0" fontId="13" fillId="0" borderId="1" xfId="0" applyFont="1" applyBorder="1"/>
    <xf numFmtId="3" fontId="0" fillId="0" borderId="28" xfId="0" applyNumberFormat="1" applyBorder="1"/>
    <xf numFmtId="3" fontId="0" fillId="0" borderId="5" xfId="0" applyNumberFormat="1" applyBorder="1"/>
    <xf numFmtId="3" fontId="60" fillId="0" borderId="0" xfId="0" applyNumberFormat="1" applyFont="1"/>
    <xf numFmtId="3" fontId="61" fillId="0" borderId="0" xfId="0" applyNumberFormat="1" applyFont="1"/>
    <xf numFmtId="3" fontId="16" fillId="0" borderId="0" xfId="0" applyNumberFormat="1" applyFont="1"/>
    <xf numFmtId="3" fontId="2" fillId="0" borderId="1" xfId="0" applyNumberFormat="1" applyFont="1" applyBorder="1"/>
    <xf numFmtId="0" fontId="0" fillId="0" borderId="1" xfId="0" applyBorder="1"/>
    <xf numFmtId="49" fontId="0" fillId="0" borderId="45" xfId="0" applyNumberFormat="1" applyBorder="1"/>
    <xf numFmtId="0" fontId="7" fillId="0" borderId="0" xfId="0" applyFont="1" applyBorder="1"/>
    <xf numFmtId="0" fontId="62" fillId="0" borderId="4" xfId="0" applyFont="1" applyBorder="1" applyAlignment="1">
      <alignment wrapText="1"/>
    </xf>
    <xf numFmtId="0" fontId="63" fillId="0" borderId="0" xfId="0" applyFont="1"/>
    <xf numFmtId="49" fontId="64" fillId="0" borderId="0" xfId="0" applyNumberFormat="1" applyFont="1"/>
    <xf numFmtId="0" fontId="64" fillId="0" borderId="0" xfId="0" applyFont="1"/>
    <xf numFmtId="2" fontId="64" fillId="0" borderId="0" xfId="0" applyNumberFormat="1" applyFont="1"/>
    <xf numFmtId="2" fontId="63" fillId="0" borderId="0" xfId="0" applyNumberFormat="1" applyFont="1"/>
    <xf numFmtId="49" fontId="10" fillId="0" borderId="15" xfId="0" applyNumberFormat="1" applyFont="1" applyBorder="1"/>
    <xf numFmtId="2" fontId="10" fillId="0" borderId="12" xfId="0" applyNumberFormat="1" applyFont="1" applyBorder="1"/>
    <xf numFmtId="3" fontId="20" fillId="0" borderId="12" xfId="0" applyNumberFormat="1" applyFont="1" applyBorder="1"/>
    <xf numFmtId="3" fontId="24" fillId="0" borderId="0" xfId="0" applyNumberFormat="1" applyFont="1" applyBorder="1"/>
    <xf numFmtId="0" fontId="0" fillId="0" borderId="44" xfId="0" applyBorder="1"/>
    <xf numFmtId="0" fontId="0" fillId="0" borderId="29" xfId="0" applyBorder="1"/>
    <xf numFmtId="0" fontId="21" fillId="0" borderId="48" xfId="0" applyFont="1" applyBorder="1" applyAlignment="1">
      <alignment horizontal="left" wrapText="1"/>
    </xf>
    <xf numFmtId="4" fontId="16" fillId="0" borderId="31" xfId="0" applyNumberFormat="1" applyFont="1" applyBorder="1"/>
    <xf numFmtId="3" fontId="19" fillId="0" borderId="36" xfId="0" applyNumberFormat="1" applyFont="1" applyBorder="1"/>
    <xf numFmtId="0" fontId="19" fillId="0" borderId="36" xfId="0" applyFont="1" applyBorder="1"/>
    <xf numFmtId="3" fontId="20" fillId="0" borderId="9" xfId="0" applyNumberFormat="1" applyFont="1" applyBorder="1"/>
    <xf numFmtId="0" fontId="0" fillId="0" borderId="38" xfId="0" applyBorder="1"/>
    <xf numFmtId="0" fontId="58" fillId="0" borderId="38" xfId="0" applyFont="1" applyBorder="1" applyAlignment="1">
      <alignment wrapText="1"/>
    </xf>
    <xf numFmtId="0" fontId="15" fillId="0" borderId="4" xfId="0" applyFont="1" applyBorder="1" applyAlignment="1">
      <alignment wrapText="1"/>
    </xf>
    <xf numFmtId="49" fontId="0" fillId="0" borderId="52" xfId="0" applyNumberFormat="1" applyBorder="1"/>
    <xf numFmtId="3" fontId="24" fillId="0" borderId="16" xfId="0" applyNumberFormat="1" applyFont="1" applyBorder="1"/>
    <xf numFmtId="0" fontId="22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3" fontId="19" fillId="0" borderId="0" xfId="0" applyNumberFormat="1" applyFont="1" applyBorder="1"/>
    <xf numFmtId="0" fontId="19" fillId="0" borderId="0" xfId="0" applyFont="1" applyBorder="1"/>
    <xf numFmtId="3" fontId="20" fillId="0" borderId="0" xfId="0" applyNumberFormat="1" applyFont="1" applyBorder="1"/>
    <xf numFmtId="0" fontId="0" fillId="0" borderId="56" xfId="0" applyBorder="1"/>
    <xf numFmtId="0" fontId="0" fillId="0" borderId="0" xfId="0" applyBorder="1"/>
    <xf numFmtId="0" fontId="34" fillId="0" borderId="0" xfId="0" applyFont="1" applyBorder="1" applyAlignment="1">
      <alignment wrapText="1"/>
    </xf>
    <xf numFmtId="49" fontId="0" fillId="0" borderId="11" xfId="0" applyNumberFormat="1" applyFill="1" applyBorder="1"/>
    <xf numFmtId="49" fontId="0" fillId="0" borderId="15" xfId="0" applyNumberFormat="1" applyFill="1" applyBorder="1"/>
    <xf numFmtId="3" fontId="24" fillId="0" borderId="19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0" fillId="0" borderId="21" xfId="0" applyNumberFormat="1" applyFont="1" applyBorder="1"/>
    <xf numFmtId="2" fontId="0" fillId="0" borderId="19" xfId="0" applyNumberFormat="1" applyBorder="1"/>
    <xf numFmtId="2" fontId="0" fillId="0" borderId="13" xfId="0" applyNumberFormat="1" applyBorder="1"/>
    <xf numFmtId="2" fontId="0" fillId="0" borderId="17" xfId="0" applyNumberFormat="1" applyBorder="1"/>
    <xf numFmtId="2" fontId="41" fillId="0" borderId="13" xfId="0" applyNumberFormat="1" applyFont="1" applyBorder="1"/>
    <xf numFmtId="2" fontId="41" fillId="0" borderId="10" xfId="0" applyNumberFormat="1" applyFont="1" applyBorder="1"/>
    <xf numFmtId="3" fontId="24" fillId="0" borderId="2" xfId="0" applyNumberFormat="1" applyFont="1" applyBorder="1"/>
    <xf numFmtId="2" fontId="0" fillId="0" borderId="22" xfId="0" applyNumberFormat="1" applyBorder="1"/>
    <xf numFmtId="3" fontId="20" fillId="0" borderId="45" xfId="0" applyNumberFormat="1" applyFont="1" applyBorder="1"/>
    <xf numFmtId="49" fontId="2" fillId="0" borderId="5" xfId="0" applyNumberFormat="1" applyFont="1" applyBorder="1"/>
    <xf numFmtId="0" fontId="21" fillId="0" borderId="4" xfId="0" applyFont="1" applyBorder="1"/>
    <xf numFmtId="3" fontId="33" fillId="0" borderId="4" xfId="0" applyNumberFormat="1" applyFont="1" applyBorder="1"/>
    <xf numFmtId="3" fontId="16" fillId="0" borderId="4" xfId="0" applyNumberFormat="1" applyFont="1" applyBorder="1"/>
    <xf numFmtId="3" fontId="20" fillId="0" borderId="4" xfId="0" applyNumberFormat="1" applyFont="1" applyBorder="1"/>
    <xf numFmtId="3" fontId="20" fillId="0" borderId="16" xfId="0" applyNumberFormat="1" applyFont="1" applyBorder="1"/>
    <xf numFmtId="4" fontId="14" fillId="2" borderId="0" xfId="0" applyNumberFormat="1" applyFont="1" applyFill="1" applyBorder="1"/>
    <xf numFmtId="3" fontId="49" fillId="0" borderId="0" xfId="1" applyNumberFormat="1" applyFont="1" applyBorder="1" applyAlignment="1">
      <alignment horizontal="right" vertical="top" wrapText="1"/>
    </xf>
    <xf numFmtId="3" fontId="27" fillId="0" borderId="0" xfId="0" applyNumberFormat="1" applyFont="1" applyBorder="1"/>
    <xf numFmtId="0" fontId="2" fillId="0" borderId="26" xfId="0" applyFont="1" applyBorder="1"/>
    <xf numFmtId="3" fontId="0" fillId="0" borderId="26" xfId="0" applyNumberFormat="1" applyBorder="1"/>
    <xf numFmtId="3" fontId="10" fillId="0" borderId="26" xfId="0" applyNumberFormat="1" applyFont="1" applyBorder="1"/>
    <xf numFmtId="0" fontId="0" fillId="0" borderId="7" xfId="0" applyBorder="1"/>
    <xf numFmtId="0" fontId="58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2" fillId="0" borderId="8" xfId="0" applyFont="1" applyBorder="1"/>
    <xf numFmtId="0" fontId="58" fillId="0" borderId="0" xfId="0" applyFont="1" applyBorder="1" applyAlignment="1">
      <alignment wrapText="1"/>
    </xf>
    <xf numFmtId="3" fontId="20" fillId="0" borderId="59" xfId="0" applyNumberFormat="1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15" xfId="0" applyFont="1" applyBorder="1"/>
    <xf numFmtId="0" fontId="6" fillId="0" borderId="42" xfId="0" applyFont="1" applyBorder="1"/>
    <xf numFmtId="4" fontId="25" fillId="0" borderId="1" xfId="0" applyNumberFormat="1" applyFont="1" applyBorder="1"/>
    <xf numFmtId="4" fontId="20" fillId="0" borderId="1" xfId="0" applyNumberFormat="1" applyFont="1" applyBorder="1"/>
    <xf numFmtId="4" fontId="16" fillId="0" borderId="5" xfId="0" applyNumberFormat="1" applyFont="1" applyBorder="1"/>
    <xf numFmtId="2" fontId="20" fillId="0" borderId="12" xfId="0" applyNumberFormat="1" applyFont="1" applyBorder="1"/>
    <xf numFmtId="49" fontId="13" fillId="4" borderId="18" xfId="0" applyNumberFormat="1" applyFont="1" applyFill="1" applyBorder="1"/>
    <xf numFmtId="0" fontId="39" fillId="4" borderId="7" xfId="0" applyFont="1" applyFill="1" applyBorder="1" applyAlignment="1">
      <alignment horizontal="center" wrapText="1"/>
    </xf>
    <xf numFmtId="3" fontId="30" fillId="4" borderId="7" xfId="0" applyNumberFormat="1" applyFont="1" applyFill="1" applyBorder="1"/>
    <xf numFmtId="4" fontId="30" fillId="4" borderId="7" xfId="0" applyNumberFormat="1" applyFont="1" applyFill="1" applyBorder="1"/>
    <xf numFmtId="4" fontId="30" fillId="4" borderId="18" xfId="0" applyNumberFormat="1" applyFont="1" applyFill="1" applyBorder="1"/>
    <xf numFmtId="3" fontId="30" fillId="4" borderId="18" xfId="0" applyNumberFormat="1" applyFont="1" applyFill="1" applyBorder="1"/>
    <xf numFmtId="2" fontId="30" fillId="4" borderId="18" xfId="0" applyNumberFormat="1" applyFont="1" applyFill="1" applyBorder="1"/>
    <xf numFmtId="2" fontId="16" fillId="0" borderId="38" xfId="0" applyNumberFormat="1" applyFont="1" applyBorder="1"/>
    <xf numFmtId="2" fontId="25" fillId="0" borderId="3" xfId="0" applyNumberFormat="1" applyFont="1" applyBorder="1"/>
    <xf numFmtId="49" fontId="0" fillId="0" borderId="46" xfId="0" applyNumberFormat="1" applyBorder="1"/>
    <xf numFmtId="4" fontId="20" fillId="0" borderId="57" xfId="0" applyNumberFormat="1" applyFont="1" applyBorder="1"/>
    <xf numFmtId="3" fontId="25" fillId="0" borderId="34" xfId="0" applyNumberFormat="1" applyFont="1" applyBorder="1"/>
    <xf numFmtId="3" fontId="25" fillId="0" borderId="25" xfId="0" applyNumberFormat="1" applyFont="1" applyBorder="1"/>
    <xf numFmtId="4" fontId="20" fillId="0" borderId="25" xfId="0" applyNumberFormat="1" applyFont="1" applyBorder="1"/>
    <xf numFmtId="4" fontId="20" fillId="0" borderId="34" xfId="0" applyNumberFormat="1" applyFont="1" applyBorder="1"/>
    <xf numFmtId="49" fontId="10" fillId="0" borderId="24" xfId="0" applyNumberFormat="1" applyFont="1" applyBorder="1"/>
    <xf numFmtId="4" fontId="25" fillId="0" borderId="26" xfId="0" applyNumberFormat="1" applyFont="1" applyBorder="1"/>
    <xf numFmtId="4" fontId="70" fillId="0" borderId="57" xfId="0" applyNumberFormat="1" applyFont="1" applyBorder="1"/>
    <xf numFmtId="0" fontId="29" fillId="0" borderId="57" xfId="0" applyFont="1" applyBorder="1" applyAlignment="1">
      <alignment horizontal="left" wrapText="1"/>
    </xf>
    <xf numFmtId="4" fontId="20" fillId="0" borderId="26" xfId="0" applyNumberFormat="1" applyFont="1" applyBorder="1"/>
    <xf numFmtId="0" fontId="2" fillId="0" borderId="28" xfId="0" applyFont="1" applyBorder="1"/>
    <xf numFmtId="0" fontId="43" fillId="0" borderId="10" xfId="0" applyFont="1" applyBorder="1" applyAlignment="1">
      <alignment wrapText="1"/>
    </xf>
    <xf numFmtId="3" fontId="42" fillId="0" borderId="59" xfId="0" applyNumberFormat="1" applyFont="1" applyBorder="1"/>
    <xf numFmtId="0" fontId="36" fillId="0" borderId="49" xfId="0" applyFont="1" applyBorder="1" applyAlignment="1">
      <alignment horizontal="center" wrapText="1"/>
    </xf>
    <xf numFmtId="3" fontId="16" fillId="0" borderId="38" xfId="0" applyNumberFormat="1" applyFont="1" applyBorder="1"/>
    <xf numFmtId="4" fontId="16" fillId="0" borderId="50" xfId="0" applyNumberFormat="1" applyFont="1" applyBorder="1"/>
    <xf numFmtId="3" fontId="16" fillId="0" borderId="50" xfId="0" applyNumberFormat="1" applyFont="1" applyBorder="1"/>
    <xf numFmtId="3" fontId="20" fillId="0" borderId="2" xfId="0" applyNumberFormat="1" applyFont="1" applyBorder="1"/>
    <xf numFmtId="0" fontId="58" fillId="0" borderId="56" xfId="0" applyFont="1" applyBorder="1" applyAlignment="1">
      <alignment wrapText="1"/>
    </xf>
    <xf numFmtId="3" fontId="20" fillId="0" borderId="10" xfId="0" applyNumberFormat="1" applyFont="1" applyBorder="1"/>
    <xf numFmtId="3" fontId="20" fillId="0" borderId="7" xfId="0" applyNumberFormat="1" applyFont="1" applyBorder="1"/>
    <xf numFmtId="4" fontId="20" fillId="0" borderId="13" xfId="0" applyNumberFormat="1" applyFont="1" applyBorder="1"/>
    <xf numFmtId="4" fontId="20" fillId="0" borderId="7" xfId="0" applyNumberFormat="1" applyFont="1" applyBorder="1"/>
    <xf numFmtId="4" fontId="20" fillId="0" borderId="10" xfId="0" applyNumberFormat="1" applyFont="1" applyBorder="1"/>
    <xf numFmtId="0" fontId="0" fillId="0" borderId="58" xfId="0" applyBorder="1"/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4" xfId="0" applyBorder="1"/>
    <xf numFmtId="0" fontId="0" fillId="0" borderId="55" xfId="0" applyBorder="1"/>
    <xf numFmtId="0" fontId="0" fillId="0" borderId="53" xfId="0" applyBorder="1"/>
    <xf numFmtId="0" fontId="2" fillId="0" borderId="23" xfId="0" applyFont="1" applyBorder="1"/>
    <xf numFmtId="0" fontId="41" fillId="0" borderId="53" xfId="0" applyFont="1" applyBorder="1"/>
    <xf numFmtId="0" fontId="41" fillId="0" borderId="55" xfId="0" applyFont="1" applyBorder="1"/>
    <xf numFmtId="3" fontId="20" fillId="0" borderId="51" xfId="0" applyNumberFormat="1" applyFont="1" applyBorder="1"/>
    <xf numFmtId="4" fontId="20" fillId="0" borderId="19" xfId="0" applyNumberFormat="1" applyFont="1" applyBorder="1"/>
    <xf numFmtId="0" fontId="10" fillId="0" borderId="54" xfId="0" applyFont="1" applyBorder="1"/>
    <xf numFmtId="3" fontId="25" fillId="0" borderId="65" xfId="0" applyNumberFormat="1" applyFont="1" applyBorder="1"/>
    <xf numFmtId="3" fontId="25" fillId="0" borderId="60" xfId="0" applyNumberFormat="1" applyFont="1" applyBorder="1"/>
    <xf numFmtId="3" fontId="25" fillId="0" borderId="3" xfId="0" applyNumberFormat="1" applyFont="1" applyBorder="1"/>
    <xf numFmtId="4" fontId="33" fillId="0" borderId="23" xfId="0" applyNumberFormat="1" applyFont="1" applyBorder="1"/>
    <xf numFmtId="2" fontId="0" fillId="0" borderId="12" xfId="0" applyNumberFormat="1" applyBorder="1"/>
    <xf numFmtId="2" fontId="0" fillId="0" borderId="21" xfId="0" applyNumberFormat="1" applyBorder="1"/>
    <xf numFmtId="2" fontId="0" fillId="0" borderId="45" xfId="0" applyNumberFormat="1" applyBorder="1"/>
    <xf numFmtId="3" fontId="16" fillId="0" borderId="62" xfId="0" applyNumberFormat="1" applyFont="1" applyBorder="1"/>
    <xf numFmtId="3" fontId="25" fillId="0" borderId="17" xfId="0" applyNumberFormat="1" applyFont="1" applyBorder="1"/>
    <xf numFmtId="3" fontId="24" fillId="0" borderId="48" xfId="0" applyNumberFormat="1" applyFont="1" applyBorder="1"/>
    <xf numFmtId="3" fontId="24" fillId="0" borderId="40" xfId="0" applyNumberFormat="1" applyFont="1" applyBorder="1"/>
    <xf numFmtId="3" fontId="25" fillId="0" borderId="68" xfId="0" applyNumberFormat="1" applyFont="1" applyBorder="1"/>
    <xf numFmtId="3" fontId="25" fillId="0" borderId="67" xfId="0" applyNumberFormat="1" applyFont="1" applyBorder="1"/>
    <xf numFmtId="3" fontId="25" fillId="0" borderId="45" xfId="0" applyNumberFormat="1" applyFont="1" applyBorder="1"/>
    <xf numFmtId="3" fontId="20" fillId="0" borderId="67" xfId="0" applyNumberFormat="1" applyFont="1" applyBorder="1"/>
    <xf numFmtId="2" fontId="10" fillId="0" borderId="19" xfId="0" applyNumberFormat="1" applyFont="1" applyBorder="1"/>
    <xf numFmtId="2" fontId="10" fillId="0" borderId="31" xfId="0" applyNumberFormat="1" applyFont="1" applyBorder="1"/>
    <xf numFmtId="2" fontId="10" fillId="0" borderId="13" xfId="0" applyNumberFormat="1" applyFont="1" applyBorder="1"/>
    <xf numFmtId="2" fontId="10" fillId="0" borderId="22" xfId="0" applyNumberFormat="1" applyFont="1" applyBorder="1"/>
    <xf numFmtId="2" fontId="10" fillId="0" borderId="17" xfId="0" applyNumberFormat="1" applyFont="1" applyBorder="1"/>
    <xf numFmtId="3" fontId="25" fillId="0" borderId="66" xfId="0" applyNumberFormat="1" applyFont="1" applyBorder="1"/>
    <xf numFmtId="3" fontId="25" fillId="0" borderId="30" xfId="0" applyNumberFormat="1" applyFont="1" applyBorder="1"/>
    <xf numFmtId="3" fontId="25" fillId="0" borderId="51" xfId="0" applyNumberFormat="1" applyFont="1" applyBorder="1"/>
    <xf numFmtId="3" fontId="70" fillId="0" borderId="64" xfId="0" applyNumberFormat="1" applyFont="1" applyBorder="1"/>
    <xf numFmtId="3" fontId="25" fillId="0" borderId="20" xfId="0" applyNumberFormat="1" applyFont="1" applyBorder="1"/>
    <xf numFmtId="3" fontId="20" fillId="0" borderId="30" xfId="0" applyNumberFormat="1" applyFont="1" applyBorder="1"/>
    <xf numFmtId="2" fontId="25" fillId="0" borderId="19" xfId="0" applyNumberFormat="1" applyFont="1" applyBorder="1"/>
    <xf numFmtId="2" fontId="20" fillId="0" borderId="31" xfId="0" applyNumberFormat="1" applyFont="1" applyBorder="1"/>
    <xf numFmtId="2" fontId="20" fillId="0" borderId="13" xfId="0" applyNumberFormat="1" applyFont="1" applyBorder="1"/>
    <xf numFmtId="2" fontId="25" fillId="0" borderId="22" xfId="0" applyNumberFormat="1" applyFont="1" applyBorder="1"/>
    <xf numFmtId="2" fontId="56" fillId="0" borderId="19" xfId="0" applyNumberFormat="1" applyFont="1" applyBorder="1"/>
    <xf numFmtId="2" fontId="20" fillId="0" borderId="17" xfId="0" applyNumberFormat="1" applyFont="1" applyBorder="1"/>
    <xf numFmtId="0" fontId="0" fillId="0" borderId="19" xfId="0" applyBorder="1"/>
    <xf numFmtId="0" fontId="0" fillId="0" borderId="31" xfId="0" applyBorder="1"/>
    <xf numFmtId="0" fontId="0" fillId="0" borderId="13" xfId="0" applyBorder="1"/>
    <xf numFmtId="0" fontId="10" fillId="0" borderId="22" xfId="0" applyFont="1" applyBorder="1"/>
    <xf numFmtId="0" fontId="0" fillId="0" borderId="22" xfId="0" applyBorder="1"/>
    <xf numFmtId="3" fontId="20" fillId="0" borderId="64" xfId="0" applyNumberFormat="1" applyFont="1" applyBorder="1"/>
    <xf numFmtId="2" fontId="20" fillId="0" borderId="19" xfId="0" applyNumberFormat="1" applyFont="1" applyBorder="1"/>
    <xf numFmtId="2" fontId="20" fillId="0" borderId="22" xfId="0" applyNumberFormat="1" applyFont="1" applyBorder="1"/>
    <xf numFmtId="3" fontId="20" fillId="0" borderId="65" xfId="0" applyNumberFormat="1" applyFont="1" applyBorder="1"/>
    <xf numFmtId="3" fontId="42" fillId="0" borderId="61" xfId="0" applyNumberFormat="1" applyFont="1" applyBorder="1"/>
    <xf numFmtId="2" fontId="3" fillId="0" borderId="19" xfId="0" applyNumberFormat="1" applyFont="1" applyBorder="1"/>
    <xf numFmtId="4" fontId="13" fillId="0" borderId="10" xfId="0" applyNumberFormat="1" applyFont="1" applyBorder="1"/>
    <xf numFmtId="3" fontId="42" fillId="0" borderId="3" xfId="0" applyNumberFormat="1" applyFont="1" applyBorder="1"/>
    <xf numFmtId="3" fontId="42" fillId="0" borderId="39" xfId="0" applyNumberFormat="1" applyFont="1" applyBorder="1"/>
    <xf numFmtId="3" fontId="33" fillId="0" borderId="19" xfId="0" applyNumberFormat="1" applyFont="1" applyBorder="1"/>
    <xf numFmtId="3" fontId="19" fillId="0" borderId="19" xfId="0" applyNumberFormat="1" applyFont="1" applyBorder="1"/>
    <xf numFmtId="3" fontId="42" fillId="0" borderId="10" xfId="0" applyNumberFormat="1" applyFont="1" applyBorder="1"/>
    <xf numFmtId="3" fontId="24" fillId="0" borderId="61" xfId="0" applyNumberFormat="1" applyFont="1" applyBorder="1"/>
    <xf numFmtId="3" fontId="25" fillId="0" borderId="40" xfId="0" applyNumberFormat="1" applyFont="1" applyBorder="1"/>
    <xf numFmtId="2" fontId="10" fillId="0" borderId="60" xfId="0" applyNumberFormat="1" applyFont="1" applyBorder="1"/>
    <xf numFmtId="2" fontId="10" fillId="0" borderId="3" xfId="0" applyNumberFormat="1" applyFont="1" applyBorder="1"/>
    <xf numFmtId="2" fontId="25" fillId="0" borderId="60" xfId="0" applyNumberFormat="1" applyFont="1" applyBorder="1"/>
    <xf numFmtId="4" fontId="16" fillId="0" borderId="38" xfId="0" applyNumberFormat="1" applyFont="1" applyBorder="1"/>
    <xf numFmtId="4" fontId="6" fillId="0" borderId="1" xfId="0" applyNumberFormat="1" applyFont="1" applyBorder="1"/>
    <xf numFmtId="0" fontId="0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5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3" fontId="0" fillId="0" borderId="0" xfId="0" applyNumberFormat="1" applyBorder="1"/>
    <xf numFmtId="0" fontId="14" fillId="0" borderId="0" xfId="0" applyFont="1" applyBorder="1"/>
    <xf numFmtId="0" fontId="20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/>
    <xf numFmtId="3" fontId="16" fillId="0" borderId="0" xfId="0" applyNumberFormat="1" applyFont="1" applyBorder="1"/>
    <xf numFmtId="0" fontId="16" fillId="0" borderId="0" xfId="0" applyFont="1" applyBorder="1"/>
    <xf numFmtId="0" fontId="22" fillId="0" borderId="20" xfId="0" applyFont="1" applyBorder="1" applyAlignment="1">
      <alignment wrapText="1"/>
    </xf>
    <xf numFmtId="0" fontId="2" fillId="0" borderId="3" xfId="0" applyFont="1" applyBorder="1"/>
    <xf numFmtId="0" fontId="29" fillId="0" borderId="64" xfId="0" applyFont="1" applyBorder="1" applyAlignment="1">
      <alignment wrapText="1"/>
    </xf>
    <xf numFmtId="0" fontId="31" fillId="0" borderId="20" xfId="0" applyFont="1" applyBorder="1" applyAlignment="1">
      <alignment wrapText="1"/>
    </xf>
    <xf numFmtId="0" fontId="22" fillId="0" borderId="30" xfId="0" applyFont="1" applyBorder="1"/>
    <xf numFmtId="0" fontId="22" fillId="0" borderId="51" xfId="0" applyFont="1" applyBorder="1" applyAlignment="1">
      <alignment wrapText="1"/>
    </xf>
    <xf numFmtId="0" fontId="53" fillId="0" borderId="64" xfId="0" applyFont="1" applyBorder="1" applyAlignment="1">
      <alignment wrapText="1"/>
    </xf>
    <xf numFmtId="0" fontId="34" fillId="0" borderId="20" xfId="0" applyFont="1" applyBorder="1" applyAlignment="1">
      <alignment wrapText="1"/>
    </xf>
    <xf numFmtId="0" fontId="53" fillId="0" borderId="20" xfId="0" applyFont="1" applyBorder="1" applyAlignment="1">
      <alignment wrapText="1"/>
    </xf>
    <xf numFmtId="0" fontId="54" fillId="0" borderId="20" xfId="0" applyFont="1" applyBorder="1" applyAlignment="1">
      <alignment wrapText="1"/>
    </xf>
    <xf numFmtId="0" fontId="54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53" fillId="0" borderId="66" xfId="0" applyFont="1" applyBorder="1" applyAlignment="1">
      <alignment wrapText="1"/>
    </xf>
    <xf numFmtId="0" fontId="31" fillId="0" borderId="30" xfId="0" applyFont="1" applyBorder="1" applyAlignment="1">
      <alignment wrapText="1"/>
    </xf>
    <xf numFmtId="0" fontId="31" fillId="0" borderId="51" xfId="0" applyFont="1" applyBorder="1" applyAlignment="1">
      <alignment wrapText="1"/>
    </xf>
    <xf numFmtId="0" fontId="57" fillId="0" borderId="0" xfId="0" applyFont="1" applyBorder="1" applyAlignment="1">
      <alignment wrapText="1"/>
    </xf>
    <xf numFmtId="3" fontId="2" fillId="0" borderId="1" xfId="0" applyNumberFormat="1" applyFont="1" applyBorder="1"/>
    <xf numFmtId="0" fontId="0" fillId="0" borderId="1" xfId="0" applyBorder="1"/>
    <xf numFmtId="4" fontId="71" fillId="0" borderId="0" xfId="0" applyNumberFormat="1" applyFont="1"/>
    <xf numFmtId="0" fontId="0" fillId="0" borderId="46" xfId="0" applyBorder="1"/>
    <xf numFmtId="0" fontId="0" fillId="0" borderId="57" xfId="0" applyBorder="1"/>
    <xf numFmtId="0" fontId="0" fillId="0" borderId="57" xfId="0" applyBorder="1" applyAlignment="1">
      <alignment wrapText="1"/>
    </xf>
    <xf numFmtId="0" fontId="0" fillId="0" borderId="47" xfId="0" applyBorder="1" applyAlignment="1">
      <alignment wrapText="1"/>
    </xf>
    <xf numFmtId="0" fontId="2" fillId="0" borderId="42" xfId="0" applyFont="1" applyBorder="1" applyAlignment="1">
      <alignment wrapText="1"/>
    </xf>
    <xf numFmtId="4" fontId="6" fillId="0" borderId="34" xfId="0" applyNumberFormat="1" applyFont="1" applyBorder="1"/>
    <xf numFmtId="0" fontId="0" fillId="0" borderId="71" xfId="0" applyBorder="1"/>
    <xf numFmtId="3" fontId="0" fillId="0" borderId="64" xfId="0" applyNumberFormat="1" applyBorder="1"/>
    <xf numFmtId="3" fontId="0" fillId="0" borderId="47" xfId="0" applyNumberFormat="1" applyBorder="1"/>
    <xf numFmtId="0" fontId="0" fillId="0" borderId="18" xfId="0" applyBorder="1"/>
    <xf numFmtId="0" fontId="33" fillId="0" borderId="0" xfId="0" applyFont="1" applyBorder="1"/>
    <xf numFmtId="49" fontId="0" fillId="0" borderId="15" xfId="0" applyNumberFormat="1" applyBorder="1" applyAlignment="1">
      <alignment horizontal="right"/>
    </xf>
    <xf numFmtId="3" fontId="10" fillId="0" borderId="42" xfId="0" applyNumberFormat="1" applyFont="1" applyBorder="1"/>
    <xf numFmtId="0" fontId="16" fillId="0" borderId="29" xfId="0" applyFont="1" applyBorder="1"/>
    <xf numFmtId="0" fontId="16" fillId="0" borderId="34" xfId="0" applyFont="1" applyBorder="1"/>
    <xf numFmtId="3" fontId="16" fillId="0" borderId="34" xfId="0" applyNumberFormat="1" applyFont="1" applyBorder="1"/>
    <xf numFmtId="3" fontId="16" fillId="0" borderId="71" xfId="0" applyNumberFormat="1" applyFont="1" applyBorder="1"/>
    <xf numFmtId="0" fontId="33" fillId="0" borderId="57" xfId="0" applyFont="1" applyBorder="1"/>
    <xf numFmtId="0" fontId="0" fillId="0" borderId="24" xfId="0" applyBorder="1"/>
    <xf numFmtId="0" fontId="0" fillId="0" borderId="26" xfId="0" applyBorder="1"/>
    <xf numFmtId="4" fontId="0" fillId="0" borderId="26" xfId="0" applyNumberFormat="1" applyBorder="1"/>
    <xf numFmtId="0" fontId="0" fillId="0" borderId="43" xfId="0" applyBorder="1"/>
    <xf numFmtId="4" fontId="0" fillId="0" borderId="25" xfId="0" applyNumberFormat="1" applyBorder="1"/>
    <xf numFmtId="0" fontId="0" fillId="0" borderId="72" xfId="0" applyBorder="1"/>
    <xf numFmtId="4" fontId="0" fillId="0" borderId="36" xfId="0" applyNumberFormat="1" applyBorder="1"/>
    <xf numFmtId="4" fontId="25" fillId="0" borderId="0" xfId="0" applyNumberFormat="1" applyFont="1" applyBorder="1"/>
    <xf numFmtId="2" fontId="20" fillId="0" borderId="1" xfId="0" applyNumberFormat="1" applyFont="1" applyBorder="1"/>
    <xf numFmtId="2" fontId="20" fillId="0" borderId="25" xfId="0" applyNumberFormat="1" applyFont="1" applyBorder="1"/>
    <xf numFmtId="2" fontId="33" fillId="0" borderId="3" xfId="0" applyNumberFormat="1" applyFont="1" applyBorder="1"/>
    <xf numFmtId="2" fontId="20" fillId="0" borderId="26" xfId="0" applyNumberFormat="1" applyFont="1" applyBorder="1"/>
    <xf numFmtId="0" fontId="55" fillId="0" borderId="0" xfId="0" applyFont="1"/>
    <xf numFmtId="0" fontId="55" fillId="0" borderId="35" xfId="0" applyFont="1" applyBorder="1"/>
    <xf numFmtId="0" fontId="72" fillId="0" borderId="7" xfId="0" applyFont="1" applyBorder="1" applyAlignment="1">
      <alignment wrapText="1"/>
    </xf>
    <xf numFmtId="49" fontId="55" fillId="0" borderId="3" xfId="0" applyNumberFormat="1" applyFont="1" applyBorder="1"/>
    <xf numFmtId="49" fontId="55" fillId="0" borderId="7" xfId="0" applyNumberFormat="1" applyFont="1" applyBorder="1"/>
    <xf numFmtId="49" fontId="55" fillId="0" borderId="31" xfId="0" applyNumberFormat="1" applyFont="1" applyBorder="1"/>
    <xf numFmtId="49" fontId="55" fillId="0" borderId="22" xfId="0" applyNumberFormat="1" applyFont="1" applyBorder="1"/>
    <xf numFmtId="49" fontId="73" fillId="0" borderId="23" xfId="0" applyNumberFormat="1" applyFont="1" applyBorder="1"/>
    <xf numFmtId="49" fontId="55" fillId="0" borderId="53" xfId="0" applyNumberFormat="1" applyFont="1" applyBorder="1"/>
    <xf numFmtId="49" fontId="55" fillId="0" borderId="55" xfId="0" applyNumberFormat="1" applyFont="1" applyBorder="1"/>
    <xf numFmtId="49" fontId="55" fillId="0" borderId="54" xfId="0" applyNumberFormat="1" applyFont="1" applyBorder="1"/>
    <xf numFmtId="49" fontId="55" fillId="0" borderId="63" xfId="0" applyNumberFormat="1" applyFont="1" applyBorder="1"/>
    <xf numFmtId="49" fontId="55" fillId="0" borderId="41" xfId="0" applyNumberFormat="1" applyFont="1" applyBorder="1"/>
    <xf numFmtId="49" fontId="74" fillId="0" borderId="54" xfId="0" applyNumberFormat="1" applyFont="1" applyBorder="1"/>
    <xf numFmtId="49" fontId="55" fillId="0" borderId="70" xfId="0" applyNumberFormat="1" applyFont="1" applyBorder="1"/>
    <xf numFmtId="49" fontId="55" fillId="0" borderId="5" xfId="0" applyNumberFormat="1" applyFont="1" applyBorder="1"/>
    <xf numFmtId="49" fontId="55" fillId="0" borderId="59" xfId="0" applyNumberFormat="1" applyFont="1" applyBorder="1"/>
    <xf numFmtId="49" fontId="55" fillId="0" borderId="12" xfId="0" applyNumberFormat="1" applyFont="1" applyBorder="1"/>
    <xf numFmtId="49" fontId="55" fillId="0" borderId="48" xfId="0" applyNumberFormat="1" applyFont="1" applyBorder="1"/>
    <xf numFmtId="49" fontId="74" fillId="0" borderId="2" xfId="0" applyNumberFormat="1" applyFont="1" applyBorder="1"/>
    <xf numFmtId="49" fontId="55" fillId="0" borderId="40" xfId="0" applyNumberFormat="1" applyFont="1" applyBorder="1"/>
    <xf numFmtId="49" fontId="75" fillId="0" borderId="16" xfId="0" applyNumberFormat="1" applyFont="1" applyBorder="1" applyAlignment="1">
      <alignment wrapText="1"/>
    </xf>
    <xf numFmtId="49" fontId="55" fillId="0" borderId="16" xfId="0" applyNumberFormat="1" applyFont="1" applyBorder="1"/>
    <xf numFmtId="49" fontId="55" fillId="4" borderId="69" xfId="0" applyNumberFormat="1" applyFont="1" applyFill="1" applyBorder="1"/>
    <xf numFmtId="49" fontId="55" fillId="0" borderId="2" xfId="0" applyNumberFormat="1" applyFont="1" applyBorder="1"/>
    <xf numFmtId="49" fontId="74" fillId="0" borderId="16" xfId="0" applyNumberFormat="1" applyFont="1" applyBorder="1"/>
    <xf numFmtId="0" fontId="55" fillId="0" borderId="39" xfId="0" applyFont="1" applyBorder="1"/>
    <xf numFmtId="0" fontId="55" fillId="0" borderId="0" xfId="0" applyFont="1" applyBorder="1"/>
    <xf numFmtId="0" fontId="73" fillId="0" borderId="0" xfId="0" applyFont="1" applyBorder="1" applyAlignment="1">
      <alignment wrapText="1"/>
    </xf>
    <xf numFmtId="3" fontId="55" fillId="0" borderId="0" xfId="0" applyNumberFormat="1" applyFont="1" applyBorder="1"/>
    <xf numFmtId="3" fontId="76" fillId="0" borderId="0" xfId="0" applyNumberFormat="1" applyFont="1" applyBorder="1"/>
    <xf numFmtId="3" fontId="73" fillId="0" borderId="0" xfId="0" applyNumberFormat="1" applyFont="1" applyBorder="1"/>
    <xf numFmtId="0" fontId="72" fillId="0" borderId="0" xfId="0" applyFont="1"/>
    <xf numFmtId="0" fontId="72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0" fillId="4" borderId="3" xfId="0" applyFill="1" applyBorder="1"/>
    <xf numFmtId="49" fontId="55" fillId="0" borderId="54" xfId="0" applyNumberFormat="1" applyFont="1" applyBorder="1" applyAlignment="1">
      <alignment wrapText="1"/>
    </xf>
    <xf numFmtId="4" fontId="16" fillId="0" borderId="22" xfId="0" applyNumberFormat="1" applyFont="1" applyBorder="1"/>
    <xf numFmtId="4" fontId="20" fillId="0" borderId="14" xfId="0" applyNumberFormat="1" applyFont="1" applyBorder="1"/>
    <xf numFmtId="2" fontId="0" fillId="0" borderId="56" xfId="0" applyNumberFormat="1" applyBorder="1"/>
    <xf numFmtId="2" fontId="0" fillId="0" borderId="54" xfId="0" applyNumberFormat="1" applyBorder="1"/>
    <xf numFmtId="0" fontId="77" fillId="0" borderId="17" xfId="0" applyFont="1" applyBorder="1" applyAlignment="1">
      <alignment wrapText="1"/>
    </xf>
    <xf numFmtId="0" fontId="77" fillId="0" borderId="22" xfId="0" applyFont="1" applyBorder="1" applyAlignment="1">
      <alignment wrapText="1"/>
    </xf>
    <xf numFmtId="0" fontId="77" fillId="0" borderId="13" xfId="0" applyFont="1" applyBorder="1" applyAlignment="1">
      <alignment wrapText="1"/>
    </xf>
    <xf numFmtId="0" fontId="78" fillId="0" borderId="0" xfId="0" applyFont="1"/>
    <xf numFmtId="0" fontId="79" fillId="0" borderId="0" xfId="0" applyFont="1"/>
    <xf numFmtId="0" fontId="73" fillId="0" borderId="0" xfId="0" applyFont="1"/>
    <xf numFmtId="0" fontId="73" fillId="0" borderId="1" xfId="0" applyFont="1" applyBorder="1"/>
    <xf numFmtId="3" fontId="73" fillId="0" borderId="1" xfId="0" applyNumberFormat="1" applyFont="1" applyBorder="1"/>
    <xf numFmtId="3" fontId="73" fillId="0" borderId="26" xfId="0" applyNumberFormat="1" applyFont="1" applyBorder="1"/>
    <xf numFmtId="3" fontId="73" fillId="0" borderId="9" xfId="0" applyNumberFormat="1" applyFont="1" applyBorder="1"/>
    <xf numFmtId="0" fontId="80" fillId="0" borderId="18" xfId="0" applyFont="1" applyBorder="1" applyAlignment="1">
      <alignment wrapText="1"/>
    </xf>
    <xf numFmtId="0" fontId="80" fillId="0" borderId="3" xfId="0" applyFont="1" applyBorder="1" applyAlignment="1">
      <alignment wrapText="1"/>
    </xf>
    <xf numFmtId="0" fontId="81" fillId="0" borderId="5" xfId="0" applyFont="1" applyBorder="1" applyAlignment="1">
      <alignment horizontal="center" wrapText="1"/>
    </xf>
    <xf numFmtId="0" fontId="81" fillId="0" borderId="18" xfId="0" applyFont="1" applyBorder="1" applyAlignment="1">
      <alignment horizontal="center" wrapText="1"/>
    </xf>
    <xf numFmtId="0" fontId="81" fillId="0" borderId="31" xfId="0" applyFont="1" applyBorder="1" applyAlignment="1">
      <alignment horizontal="center" wrapText="1"/>
    </xf>
    <xf numFmtId="0" fontId="77" fillId="0" borderId="19" xfId="0" applyFont="1" applyBorder="1" applyAlignment="1">
      <alignment wrapText="1"/>
    </xf>
    <xf numFmtId="0" fontId="79" fillId="0" borderId="17" xfId="0" applyFont="1" applyBorder="1" applyAlignment="1">
      <alignment wrapText="1"/>
    </xf>
    <xf numFmtId="0" fontId="55" fillId="0" borderId="7" xfId="0" applyFont="1" applyBorder="1"/>
    <xf numFmtId="0" fontId="77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49" fillId="0" borderId="13" xfId="0" applyFont="1" applyBorder="1" applyAlignment="1">
      <alignment wrapText="1"/>
    </xf>
    <xf numFmtId="0" fontId="49" fillId="0" borderId="17" xfId="0" applyFont="1" applyBorder="1" applyAlignment="1">
      <alignment wrapText="1"/>
    </xf>
    <xf numFmtId="0" fontId="79" fillId="0" borderId="7" xfId="0" applyFont="1" applyBorder="1"/>
    <xf numFmtId="0" fontId="79" fillId="0" borderId="17" xfId="0" applyFont="1" applyBorder="1"/>
    <xf numFmtId="0" fontId="73" fillId="0" borderId="3" xfId="0" applyFont="1" applyBorder="1"/>
    <xf numFmtId="0" fontId="77" fillId="0" borderId="14" xfId="0" applyFont="1" applyBorder="1" applyAlignment="1">
      <alignment wrapText="1"/>
    </xf>
    <xf numFmtId="0" fontId="49" fillId="0" borderId="37" xfId="0" applyFont="1" applyBorder="1" applyAlignment="1">
      <alignment wrapText="1"/>
    </xf>
    <xf numFmtId="0" fontId="82" fillId="0" borderId="37" xfId="0" applyFont="1" applyBorder="1" applyAlignment="1">
      <alignment wrapText="1"/>
    </xf>
    <xf numFmtId="0" fontId="82" fillId="0" borderId="18" xfId="0" applyFont="1" applyBorder="1" applyAlignment="1">
      <alignment wrapText="1"/>
    </xf>
    <xf numFmtId="0" fontId="83" fillId="0" borderId="50" xfId="0" applyFont="1" applyBorder="1" applyAlignment="1">
      <alignment horizontal="center" wrapText="1"/>
    </xf>
    <xf numFmtId="0" fontId="82" fillId="0" borderId="19" xfId="0" applyFont="1" applyBorder="1" applyAlignment="1">
      <alignment wrapText="1"/>
    </xf>
    <xf numFmtId="0" fontId="82" fillId="0" borderId="31" xfId="0" applyFont="1" applyBorder="1" applyAlignment="1">
      <alignment wrapText="1"/>
    </xf>
    <xf numFmtId="0" fontId="82" fillId="0" borderId="13" xfId="0" applyFont="1" applyBorder="1" applyAlignment="1">
      <alignment wrapText="1"/>
    </xf>
    <xf numFmtId="0" fontId="49" fillId="0" borderId="31" xfId="0" applyFont="1" applyBorder="1" applyAlignment="1">
      <alignment wrapText="1"/>
    </xf>
    <xf numFmtId="0" fontId="82" fillId="0" borderId="17" xfId="0" applyFont="1" applyBorder="1" applyAlignment="1">
      <alignment wrapText="1"/>
    </xf>
    <xf numFmtId="0" fontId="84" fillId="4" borderId="7" xfId="0" applyFont="1" applyFill="1" applyBorder="1" applyAlignment="1">
      <alignment horizontal="center" wrapText="1"/>
    </xf>
    <xf numFmtId="0" fontId="81" fillId="0" borderId="64" xfId="0" applyFont="1" applyBorder="1" applyAlignment="1">
      <alignment horizontal="left" wrapText="1"/>
    </xf>
    <xf numFmtId="0" fontId="77" fillId="0" borderId="51" xfId="0" applyFont="1" applyBorder="1" applyAlignment="1">
      <alignment wrapText="1"/>
    </xf>
    <xf numFmtId="0" fontId="81" fillId="0" borderId="19" xfId="0" applyFont="1" applyBorder="1" applyAlignment="1">
      <alignment wrapText="1"/>
    </xf>
    <xf numFmtId="0" fontId="77" fillId="0" borderId="31" xfId="0" applyFont="1" applyBorder="1" applyAlignment="1">
      <alignment wrapText="1"/>
    </xf>
    <xf numFmtId="0" fontId="79" fillId="0" borderId="31" xfId="0" applyFont="1" applyBorder="1"/>
    <xf numFmtId="0" fontId="73" fillId="0" borderId="39" xfId="0" applyFont="1" applyBorder="1"/>
    <xf numFmtId="0" fontId="79" fillId="2" borderId="5" xfId="0" applyFont="1" applyFill="1" applyBorder="1" applyAlignment="1">
      <alignment wrapText="1"/>
    </xf>
    <xf numFmtId="0" fontId="79" fillId="2" borderId="18" xfId="0" applyFont="1" applyFill="1" applyBorder="1" applyAlignment="1">
      <alignment wrapText="1"/>
    </xf>
    <xf numFmtId="4" fontId="77" fillId="0" borderId="14" xfId="0" applyNumberFormat="1" applyFont="1" applyBorder="1" applyAlignment="1">
      <alignment wrapText="1"/>
    </xf>
    <xf numFmtId="0" fontId="77" fillId="0" borderId="37" xfId="0" applyFont="1" applyBorder="1" applyAlignment="1">
      <alignment wrapText="1"/>
    </xf>
    <xf numFmtId="0" fontId="55" fillId="0" borderId="21" xfId="0" applyFont="1" applyBorder="1"/>
    <xf numFmtId="0" fontId="80" fillId="0" borderId="37" xfId="0" applyFont="1" applyBorder="1" applyAlignment="1">
      <alignment wrapText="1"/>
    </xf>
    <xf numFmtId="0" fontId="79" fillId="0" borderId="0" xfId="0" applyFont="1" applyAlignment="1">
      <alignment wrapText="1"/>
    </xf>
    <xf numFmtId="0" fontId="55" fillId="0" borderId="57" xfId="0" applyFont="1" applyBorder="1"/>
    <xf numFmtId="0" fontId="55" fillId="0" borderId="26" xfId="0" applyFont="1" applyBorder="1"/>
    <xf numFmtId="0" fontId="55" fillId="0" borderId="36" xfId="0" applyFont="1" applyBorder="1"/>
    <xf numFmtId="0" fontId="55" fillId="0" borderId="25" xfId="0" applyFont="1" applyBorder="1"/>
    <xf numFmtId="0" fontId="55" fillId="0" borderId="34" xfId="0" applyFont="1" applyBorder="1"/>
    <xf numFmtId="0" fontId="72" fillId="0" borderId="34" xfId="0" applyFont="1" applyBorder="1"/>
    <xf numFmtId="0" fontId="73" fillId="0" borderId="57" xfId="0" applyFont="1" applyBorder="1"/>
    <xf numFmtId="3" fontId="55" fillId="0" borderId="1" xfId="0" applyNumberFormat="1" applyFont="1" applyBorder="1"/>
    <xf numFmtId="0" fontId="55" fillId="0" borderId="5" xfId="0" applyFont="1" applyBorder="1"/>
    <xf numFmtId="4" fontId="55" fillId="0" borderId="0" xfId="0" applyNumberFormat="1" applyFont="1" applyAlignment="1">
      <alignment wrapText="1"/>
    </xf>
    <xf numFmtId="0" fontId="73" fillId="0" borderId="0" xfId="0" applyFont="1" applyAlignment="1">
      <alignment wrapText="1"/>
    </xf>
    <xf numFmtId="2" fontId="55" fillId="0" borderId="0" xfId="0" applyNumberFormat="1" applyFont="1" applyAlignment="1">
      <alignment wrapText="1"/>
    </xf>
    <xf numFmtId="3" fontId="19" fillId="0" borderId="54" xfId="0" applyNumberFormat="1" applyFont="1" applyBorder="1"/>
    <xf numFmtId="0" fontId="85" fillId="4" borderId="0" xfId="0" applyFont="1" applyFill="1"/>
    <xf numFmtId="2" fontId="85" fillId="4" borderId="0" xfId="0" applyNumberFormat="1" applyFont="1" applyFill="1"/>
    <xf numFmtId="0" fontId="86" fillId="4" borderId="0" xfId="0" applyFont="1" applyFill="1"/>
    <xf numFmtId="2" fontId="2" fillId="0" borderId="20" xfId="0" applyNumberFormat="1" applyFont="1" applyBorder="1"/>
    <xf numFmtId="2" fontId="6" fillId="0" borderId="1" xfId="0" applyNumberFormat="1" applyFont="1" applyBorder="1"/>
    <xf numFmtId="2" fontId="71" fillId="0" borderId="0" xfId="0" applyNumberFormat="1" applyFont="1"/>
    <xf numFmtId="0" fontId="0" fillId="0" borderId="1" xfId="0" applyBorder="1"/>
    <xf numFmtId="0" fontId="2" fillId="0" borderId="57" xfId="0" applyFont="1" applyBorder="1"/>
    <xf numFmtId="0" fontId="0" fillId="0" borderId="34" xfId="0" applyBorder="1"/>
    <xf numFmtId="0" fontId="2" fillId="0" borderId="11" xfId="0" applyFont="1" applyBorder="1"/>
    <xf numFmtId="0" fontId="2" fillId="0" borderId="25" xfId="0" applyFont="1" applyBorder="1"/>
    <xf numFmtId="0" fontId="0" fillId="0" borderId="39" xfId="0" applyBorder="1"/>
    <xf numFmtId="0" fontId="2" fillId="0" borderId="57" xfId="0" applyFont="1" applyBorder="1" applyAlignment="1">
      <alignment wrapText="1"/>
    </xf>
    <xf numFmtId="164" fontId="16" fillId="0" borderId="10" xfId="0" applyNumberFormat="1" applyFont="1" applyBorder="1"/>
    <xf numFmtId="3" fontId="2" fillId="0" borderId="0" xfId="0" applyNumberFormat="1" applyFont="1"/>
    <xf numFmtId="2" fontId="0" fillId="0" borderId="0" xfId="0" applyNumberFormat="1" applyBorder="1"/>
    <xf numFmtId="0" fontId="2" fillId="0" borderId="0" xfId="0" applyFont="1" applyBorder="1" applyAlignment="1">
      <alignment wrapText="1"/>
    </xf>
    <xf numFmtId="0" fontId="0" fillId="0" borderId="63" xfId="0" applyBorder="1"/>
    <xf numFmtId="0" fontId="0" fillId="0" borderId="0" xfId="0" applyBorder="1" applyAlignment="1"/>
    <xf numFmtId="0" fontId="57" fillId="0" borderId="0" xfId="0" applyFont="1"/>
    <xf numFmtId="0" fontId="0" fillId="0" borderId="1" xfId="0" applyBorder="1"/>
    <xf numFmtId="0" fontId="8" fillId="0" borderId="0" xfId="0" applyFont="1" applyAlignment="1">
      <alignment horizontal="center"/>
    </xf>
    <xf numFmtId="0" fontId="5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8" xfId="0" applyBorder="1"/>
    <xf numFmtId="0" fontId="69" fillId="0" borderId="0" xfId="0" applyFont="1" applyBorder="1"/>
    <xf numFmtId="0" fontId="56" fillId="0" borderId="1" xfId="0" applyFont="1" applyBorder="1"/>
    <xf numFmtId="0" fontId="69" fillId="0" borderId="1" xfId="0" applyFont="1" applyBorder="1"/>
    <xf numFmtId="0" fontId="69" fillId="0" borderId="29" xfId="0" applyFont="1" applyBorder="1"/>
    <xf numFmtId="0" fontId="69" fillId="0" borderId="0" xfId="0" applyFont="1"/>
    <xf numFmtId="0" fontId="52" fillId="0" borderId="0" xfId="0" applyFont="1"/>
    <xf numFmtId="0" fontId="0" fillId="0" borderId="11" xfId="0" applyBorder="1"/>
    <xf numFmtId="0" fontId="0" fillId="0" borderId="25" xfId="0" applyBorder="1"/>
    <xf numFmtId="0" fontId="69" fillId="0" borderId="74" xfId="0" applyFont="1" applyFill="1" applyBorder="1"/>
    <xf numFmtId="0" fontId="52" fillId="0" borderId="0" xfId="0" applyFont="1" applyBorder="1" applyAlignment="1">
      <alignment horizontal="center"/>
    </xf>
    <xf numFmtId="2" fontId="89" fillId="0" borderId="0" xfId="0" applyNumberFormat="1" applyFont="1"/>
    <xf numFmtId="2" fontId="60" fillId="0" borderId="0" xfId="0" applyNumberFormat="1" applyFont="1"/>
    <xf numFmtId="0" fontId="6" fillId="0" borderId="29" xfId="0" applyFont="1" applyBorder="1"/>
    <xf numFmtId="0" fontId="6" fillId="0" borderId="71" xfId="0" applyFont="1" applyBorder="1"/>
    <xf numFmtId="0" fontId="55" fillId="0" borderId="65" xfId="0" applyFont="1" applyBorder="1"/>
    <xf numFmtId="0" fontId="55" fillId="0" borderId="45" xfId="0" applyFont="1" applyBorder="1"/>
    <xf numFmtId="0" fontId="55" fillId="0" borderId="68" xfId="0" applyFont="1" applyBorder="1"/>
    <xf numFmtId="0" fontId="55" fillId="0" borderId="67" xfId="0" applyFont="1" applyBorder="1"/>
    <xf numFmtId="0" fontId="72" fillId="0" borderId="67" xfId="0" applyFont="1" applyBorder="1"/>
    <xf numFmtId="0" fontId="73" fillId="0" borderId="65" xfId="0" applyFont="1" applyBorder="1"/>
    <xf numFmtId="3" fontId="55" fillId="0" borderId="21" xfId="0" applyNumberFormat="1" applyFont="1" applyBorder="1"/>
    <xf numFmtId="0" fontId="0" fillId="0" borderId="74" xfId="0" applyBorder="1" applyAlignment="1">
      <alignment wrapText="1"/>
    </xf>
    <xf numFmtId="3" fontId="41" fillId="0" borderId="69" xfId="0" applyNumberFormat="1" applyFont="1" applyBorder="1"/>
    <xf numFmtId="0" fontId="0" fillId="0" borderId="75" xfId="0" applyBorder="1"/>
    <xf numFmtId="0" fontId="14" fillId="0" borderId="74" xfId="0" applyFont="1" applyBorder="1" applyAlignment="1">
      <alignment wrapText="1"/>
    </xf>
    <xf numFmtId="3" fontId="16" fillId="0" borderId="74" xfId="0" applyNumberFormat="1" applyFont="1" applyBorder="1"/>
    <xf numFmtId="0" fontId="0" fillId="0" borderId="0" xfId="0" applyFont="1" applyBorder="1" applyAlignment="1">
      <alignment wrapText="1"/>
    </xf>
    <xf numFmtId="4" fontId="0" fillId="0" borderId="0" xfId="0" applyNumberFormat="1" applyBorder="1"/>
    <xf numFmtId="4" fontId="6" fillId="0" borderId="0" xfId="0" applyNumberFormat="1" applyFont="1" applyBorder="1"/>
    <xf numFmtId="49" fontId="0" fillId="0" borderId="0" xfId="0" applyNumberFormat="1" applyBorder="1" applyAlignment="1">
      <alignment horizontal="right"/>
    </xf>
    <xf numFmtId="0" fontId="14" fillId="0" borderId="0" xfId="0" applyFont="1" applyBorder="1" applyAlignment="1">
      <alignment wrapText="1"/>
    </xf>
    <xf numFmtId="3" fontId="41" fillId="0" borderId="0" xfId="0" applyNumberFormat="1" applyFont="1" applyBorder="1"/>
    <xf numFmtId="3" fontId="10" fillId="0" borderId="0" xfId="0" applyNumberFormat="1" applyFont="1" applyBorder="1"/>
    <xf numFmtId="0" fontId="8" fillId="0" borderId="0" xfId="0" applyFont="1" applyAlignment="1"/>
    <xf numFmtId="0" fontId="0" fillId="0" borderId="25" xfId="0" applyBorder="1" applyAlignment="1">
      <alignment wrapText="1"/>
    </xf>
    <xf numFmtId="3" fontId="41" fillId="0" borderId="66" xfId="0" applyNumberFormat="1" applyFont="1" applyBorder="1"/>
    <xf numFmtId="0" fontId="14" fillId="0" borderId="25" xfId="0" applyFont="1" applyBorder="1" applyAlignment="1">
      <alignment wrapText="1"/>
    </xf>
    <xf numFmtId="3" fontId="16" fillId="0" borderId="25" xfId="0" applyNumberFormat="1" applyFont="1" applyBorder="1"/>
    <xf numFmtId="0" fontId="93" fillId="0" borderId="0" xfId="0" applyFont="1"/>
    <xf numFmtId="0" fontId="77" fillId="0" borderId="12" xfId="0" applyFont="1" applyBorder="1" applyAlignment="1">
      <alignment wrapText="1"/>
    </xf>
    <xf numFmtId="0" fontId="49" fillId="0" borderId="16" xfId="0" applyFont="1" applyBorder="1" applyAlignment="1">
      <alignment wrapText="1"/>
    </xf>
    <xf numFmtId="0" fontId="82" fillId="0" borderId="16" xfId="0" applyFont="1" applyBorder="1" applyAlignment="1">
      <alignment wrapText="1"/>
    </xf>
    <xf numFmtId="0" fontId="82" fillId="0" borderId="58" xfId="0" applyFont="1" applyBorder="1" applyAlignment="1">
      <alignment wrapText="1"/>
    </xf>
    <xf numFmtId="49" fontId="2" fillId="0" borderId="52" xfId="0" applyNumberFormat="1" applyFont="1" applyBorder="1"/>
    <xf numFmtId="0" fontId="17" fillId="0" borderId="49" xfId="0" applyFont="1" applyBorder="1" applyAlignment="1">
      <alignment horizontal="center" wrapText="1"/>
    </xf>
    <xf numFmtId="0" fontId="53" fillId="0" borderId="70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22" fillId="0" borderId="41" xfId="0" applyFont="1" applyBorder="1" applyAlignment="1">
      <alignment wrapText="1"/>
    </xf>
    <xf numFmtId="0" fontId="31" fillId="0" borderId="54" xfId="0" applyFont="1" applyBorder="1" applyAlignment="1">
      <alignment wrapText="1"/>
    </xf>
    <xf numFmtId="0" fontId="34" fillId="0" borderId="54" xfId="0" applyFont="1" applyBorder="1" applyAlignment="1">
      <alignment wrapText="1"/>
    </xf>
    <xf numFmtId="49" fontId="0" fillId="0" borderId="76" xfId="0" applyNumberFormat="1" applyBorder="1"/>
    <xf numFmtId="0" fontId="34" fillId="0" borderId="63" xfId="0" applyFont="1" applyBorder="1" applyAlignment="1">
      <alignment wrapText="1"/>
    </xf>
    <xf numFmtId="0" fontId="22" fillId="0" borderId="44" xfId="0" applyFont="1" applyBorder="1" applyAlignment="1">
      <alignment wrapText="1"/>
    </xf>
    <xf numFmtId="3" fontId="19" fillId="0" borderId="10" xfId="0" applyNumberFormat="1" applyFont="1" applyBorder="1"/>
    <xf numFmtId="3" fontId="24" fillId="0" borderId="10" xfId="0" applyNumberFormat="1" applyFont="1" applyBorder="1"/>
    <xf numFmtId="2" fontId="0" fillId="0" borderId="77" xfId="0" applyNumberFormat="1" applyBorder="1"/>
    <xf numFmtId="3" fontId="20" fillId="0" borderId="69" xfId="0" applyNumberFormat="1" applyFont="1" applyBorder="1"/>
    <xf numFmtId="3" fontId="20" fillId="0" borderId="77" xfId="0" applyNumberFormat="1" applyFont="1" applyBorder="1"/>
    <xf numFmtId="0" fontId="10" fillId="0" borderId="7" xfId="0" applyFont="1" applyBorder="1"/>
    <xf numFmtId="2" fontId="0" fillId="0" borderId="40" xfId="0" applyNumberFormat="1" applyBorder="1"/>
    <xf numFmtId="3" fontId="20" fillId="0" borderId="40" xfId="0" applyNumberFormat="1" applyFont="1" applyBorder="1"/>
    <xf numFmtId="2" fontId="20" fillId="0" borderId="47" xfId="0" applyNumberFormat="1" applyFont="1" applyBorder="1"/>
    <xf numFmtId="2" fontId="20" fillId="0" borderId="42" xfId="0" applyNumberFormat="1" applyFont="1" applyBorder="1"/>
    <xf numFmtId="2" fontId="0" fillId="0" borderId="67" xfId="0" applyNumberFormat="1" applyBorder="1"/>
    <xf numFmtId="3" fontId="20" fillId="0" borderId="48" xfId="0" applyNumberFormat="1" applyFont="1" applyBorder="1"/>
    <xf numFmtId="2" fontId="20" fillId="0" borderId="71" xfId="0" applyNumberFormat="1" applyFont="1" applyBorder="1"/>
    <xf numFmtId="0" fontId="10" fillId="0" borderId="17" xfId="0" applyFont="1" applyBorder="1"/>
    <xf numFmtId="0" fontId="95" fillId="0" borderId="4" xfId="0" applyFont="1" applyBorder="1"/>
    <xf numFmtId="0" fontId="95" fillId="0" borderId="4" xfId="0" applyFont="1" applyBorder="1" applyAlignment="1">
      <alignment wrapText="1"/>
    </xf>
    <xf numFmtId="49" fontId="55" fillId="0" borderId="39" xfId="0" applyNumberFormat="1" applyFont="1" applyBorder="1"/>
    <xf numFmtId="2" fontId="10" fillId="0" borderId="38" xfId="0" applyNumberFormat="1" applyFont="1" applyBorder="1"/>
    <xf numFmtId="3" fontId="25" fillId="0" borderId="49" xfId="0" applyNumberFormat="1" applyFont="1" applyBorder="1"/>
    <xf numFmtId="3" fontId="25" fillId="0" borderId="38" xfId="0" applyNumberFormat="1" applyFont="1" applyBorder="1"/>
    <xf numFmtId="2" fontId="25" fillId="0" borderId="38" xfId="0" applyNumberFormat="1" applyFont="1" applyBorder="1"/>
    <xf numFmtId="3" fontId="24" fillId="0" borderId="35" xfId="0" applyNumberFormat="1" applyFont="1" applyBorder="1"/>
    <xf numFmtId="2" fontId="10" fillId="0" borderId="36" xfId="0" applyNumberFormat="1" applyFont="1" applyBorder="1"/>
    <xf numFmtId="3" fontId="25" fillId="0" borderId="36" xfId="0" applyNumberFormat="1" applyFont="1" applyBorder="1"/>
    <xf numFmtId="2" fontId="25" fillId="0" borderId="44" xfId="0" applyNumberFormat="1" applyFont="1" applyBorder="1"/>
    <xf numFmtId="0" fontId="0" fillId="0" borderId="10" xfId="0" applyBorder="1"/>
    <xf numFmtId="0" fontId="0" fillId="0" borderId="76" xfId="0" applyBorder="1"/>
    <xf numFmtId="0" fontId="2" fillId="0" borderId="38" xfId="0" applyFont="1" applyBorder="1"/>
    <xf numFmtId="49" fontId="2" fillId="0" borderId="3" xfId="0" applyNumberFormat="1" applyFont="1" applyBorder="1"/>
    <xf numFmtId="0" fontId="96" fillId="0" borderId="0" xfId="0" applyFont="1"/>
    <xf numFmtId="0" fontId="3" fillId="0" borderId="0" xfId="0" applyFont="1" applyBorder="1" applyAlignment="1">
      <alignment horizontal="center" wrapText="1"/>
    </xf>
    <xf numFmtId="3" fontId="73" fillId="0" borderId="69" xfId="0" applyNumberFormat="1" applyFont="1" applyBorder="1"/>
    <xf numFmtId="0" fontId="89" fillId="0" borderId="0" xfId="0" applyFont="1"/>
    <xf numFmtId="0" fontId="60" fillId="0" borderId="0" xfId="0" applyFont="1"/>
    <xf numFmtId="0" fontId="3" fillId="0" borderId="0" xfId="0" applyFont="1"/>
    <xf numFmtId="0" fontId="85" fillId="5" borderId="0" xfId="0" applyFont="1" applyFill="1"/>
    <xf numFmtId="2" fontId="85" fillId="5" borderId="0" xfId="0" applyNumberFormat="1" applyFont="1" applyFill="1"/>
    <xf numFmtId="0" fontId="86" fillId="5" borderId="0" xfId="0" applyFont="1" applyFill="1"/>
    <xf numFmtId="49" fontId="55" fillId="0" borderId="16" xfId="0" applyNumberFormat="1" applyFont="1" applyBorder="1" applyAlignment="1">
      <alignment wrapText="1"/>
    </xf>
    <xf numFmtId="0" fontId="77" fillId="0" borderId="40" xfId="0" applyFont="1" applyBorder="1" applyAlignment="1">
      <alignment wrapText="1"/>
    </xf>
    <xf numFmtId="0" fontId="79" fillId="0" borderId="16" xfId="0" applyFont="1" applyBorder="1" applyAlignment="1">
      <alignment wrapText="1"/>
    </xf>
    <xf numFmtId="0" fontId="77" fillId="0" borderId="16" xfId="0" applyFont="1" applyBorder="1" applyAlignment="1">
      <alignment wrapText="1"/>
    </xf>
    <xf numFmtId="0" fontId="49" fillId="0" borderId="12" xfId="0" applyFont="1" applyBorder="1" applyAlignment="1">
      <alignment wrapText="1"/>
    </xf>
    <xf numFmtId="0" fontId="79" fillId="0" borderId="0" xfId="0" applyFont="1" applyBorder="1"/>
    <xf numFmtId="0" fontId="79" fillId="0" borderId="16" xfId="0" applyFont="1" applyBorder="1"/>
    <xf numFmtId="0" fontId="17" fillId="0" borderId="70" xfId="0" applyFont="1" applyBorder="1" applyAlignment="1">
      <alignment horizontal="center" wrapText="1"/>
    </xf>
    <xf numFmtId="0" fontId="22" fillId="0" borderId="54" xfId="0" applyFont="1" applyBorder="1" applyAlignment="1">
      <alignment wrapText="1"/>
    </xf>
    <xf numFmtId="0" fontId="22" fillId="0" borderId="53" xfId="0" applyFont="1" applyBorder="1" applyAlignment="1">
      <alignment wrapText="1"/>
    </xf>
    <xf numFmtId="0" fontId="31" fillId="0" borderId="53" xfId="0" applyFont="1" applyBorder="1" applyAlignment="1">
      <alignment wrapText="1"/>
    </xf>
    <xf numFmtId="0" fontId="34" fillId="0" borderId="53" xfId="0" applyFont="1" applyBorder="1" applyAlignment="1">
      <alignment wrapText="1"/>
    </xf>
    <xf numFmtId="0" fontId="22" fillId="0" borderId="42" xfId="0" applyFont="1" applyBorder="1" applyAlignment="1">
      <alignment wrapText="1"/>
    </xf>
    <xf numFmtId="0" fontId="22" fillId="0" borderId="63" xfId="0" applyFont="1" applyBorder="1" applyAlignment="1">
      <alignment wrapText="1"/>
    </xf>
    <xf numFmtId="4" fontId="25" fillId="0" borderId="63" xfId="0" applyNumberFormat="1" applyFont="1" applyBorder="1"/>
    <xf numFmtId="49" fontId="0" fillId="0" borderId="27" xfId="0" applyNumberFormat="1" applyBorder="1"/>
    <xf numFmtId="3" fontId="33" fillId="0" borderId="10" xfId="0" applyNumberFormat="1" applyFont="1" applyBorder="1"/>
    <xf numFmtId="0" fontId="81" fillId="0" borderId="33" xfId="0" applyFont="1" applyBorder="1" applyAlignment="1">
      <alignment horizontal="center" wrapText="1"/>
    </xf>
    <xf numFmtId="4" fontId="16" fillId="0" borderId="55" xfId="0" applyNumberFormat="1" applyFont="1" applyBorder="1"/>
    <xf numFmtId="4" fontId="25" fillId="0" borderId="41" xfId="0" applyNumberFormat="1" applyFont="1" applyBorder="1"/>
    <xf numFmtId="4" fontId="25" fillId="0" borderId="54" xfId="0" applyNumberFormat="1" applyFont="1" applyBorder="1"/>
    <xf numFmtId="3" fontId="25" fillId="0" borderId="19" xfId="0" applyNumberFormat="1" applyFont="1" applyBorder="1"/>
    <xf numFmtId="3" fontId="20" fillId="0" borderId="13" xfId="0" applyNumberFormat="1" applyFont="1" applyBorder="1"/>
    <xf numFmtId="3" fontId="20" fillId="0" borderId="17" xfId="0" applyNumberFormat="1" applyFont="1" applyBorder="1"/>
    <xf numFmtId="3" fontId="25" fillId="0" borderId="13" xfId="0" applyNumberFormat="1" applyFont="1" applyBorder="1"/>
    <xf numFmtId="3" fontId="20" fillId="0" borderId="31" xfId="0" applyNumberFormat="1" applyFont="1" applyBorder="1"/>
    <xf numFmtId="4" fontId="20" fillId="0" borderId="12" xfId="0" applyNumberFormat="1" applyFont="1" applyBorder="1"/>
    <xf numFmtId="2" fontId="0" fillId="0" borderId="16" xfId="0" applyNumberFormat="1" applyBorder="1"/>
    <xf numFmtId="2" fontId="0" fillId="0" borderId="2" xfId="0" applyNumberFormat="1" applyBorder="1"/>
    <xf numFmtId="2" fontId="0" fillId="0" borderId="48" xfId="0" applyNumberFormat="1" applyBorder="1"/>
    <xf numFmtId="4" fontId="20" fillId="0" borderId="40" xfId="0" applyNumberFormat="1" applyFont="1" applyBorder="1"/>
    <xf numFmtId="4" fontId="20" fillId="0" borderId="39" xfId="0" applyNumberFormat="1" applyFont="1" applyBorder="1"/>
    <xf numFmtId="3" fontId="20" fillId="0" borderId="19" xfId="0" applyNumberFormat="1" applyFont="1" applyBorder="1"/>
    <xf numFmtId="0" fontId="94" fillId="0" borderId="0" xfId="0" applyFont="1" applyAlignment="1"/>
    <xf numFmtId="0" fontId="94" fillId="0" borderId="0" xfId="0" applyFont="1" applyAlignment="1">
      <alignment horizontal="center"/>
    </xf>
    <xf numFmtId="0" fontId="0" fillId="0" borderId="0" xfId="0" applyAlignment="1"/>
    <xf numFmtId="0" fontId="2" fillId="0" borderId="63" xfId="0" applyFont="1" applyBorder="1"/>
    <xf numFmtId="0" fontId="77" fillId="0" borderId="48" xfId="0" applyFont="1" applyBorder="1" applyAlignment="1">
      <alignment wrapText="1"/>
    </xf>
    <xf numFmtId="0" fontId="29" fillId="0" borderId="66" xfId="0" applyFont="1" applyBorder="1" applyAlignment="1">
      <alignment wrapText="1"/>
    </xf>
    <xf numFmtId="3" fontId="20" fillId="0" borderId="68" xfId="0" applyNumberFormat="1" applyFont="1" applyBorder="1"/>
    <xf numFmtId="3" fontId="20" fillId="0" borderId="66" xfId="0" applyNumberFormat="1" applyFont="1" applyBorder="1"/>
    <xf numFmtId="0" fontId="22" fillId="0" borderId="66" xfId="0" applyFont="1" applyBorder="1" applyAlignment="1">
      <alignment wrapText="1"/>
    </xf>
    <xf numFmtId="0" fontId="22" fillId="0" borderId="59" xfId="0" applyFont="1" applyBorder="1"/>
    <xf numFmtId="2" fontId="10" fillId="0" borderId="10" xfId="0" applyNumberFormat="1" applyFont="1" applyBorder="1"/>
    <xf numFmtId="3" fontId="20" fillId="0" borderId="61" xfId="0" applyNumberFormat="1" applyFont="1" applyBorder="1"/>
    <xf numFmtId="4" fontId="20" fillId="0" borderId="60" xfId="0" applyNumberFormat="1" applyFont="1" applyBorder="1"/>
    <xf numFmtId="2" fontId="20" fillId="0" borderId="10" xfId="0" applyNumberFormat="1" applyFont="1" applyBorder="1"/>
    <xf numFmtId="0" fontId="82" fillId="0" borderId="0" xfId="0" applyFont="1" applyBorder="1" applyAlignment="1">
      <alignment wrapText="1"/>
    </xf>
    <xf numFmtId="0" fontId="82" fillId="0" borderId="48" xfId="0" applyFont="1" applyBorder="1" applyAlignment="1">
      <alignment wrapText="1"/>
    </xf>
    <xf numFmtId="0" fontId="49" fillId="0" borderId="48" xfId="0" applyFont="1" applyBorder="1" applyAlignment="1">
      <alignment wrapText="1"/>
    </xf>
    <xf numFmtId="0" fontId="36" fillId="0" borderId="0" xfId="0" applyFont="1" applyBorder="1" applyAlignment="1">
      <alignment horizontal="center" wrapText="1"/>
    </xf>
    <xf numFmtId="3" fontId="16" fillId="0" borderId="56" xfId="0" applyNumberFormat="1" applyFont="1" applyBorder="1"/>
    <xf numFmtId="4" fontId="16" fillId="0" borderId="18" xfId="0" applyNumberFormat="1" applyFont="1" applyBorder="1"/>
    <xf numFmtId="2" fontId="16" fillId="0" borderId="7" xfId="0" applyNumberFormat="1" applyFont="1" applyBorder="1"/>
    <xf numFmtId="0" fontId="0" fillId="4" borderId="10" xfId="0" applyFill="1" applyBorder="1"/>
    <xf numFmtId="3" fontId="16" fillId="0" borderId="39" xfId="0" applyNumberFormat="1" applyFont="1" applyBorder="1"/>
    <xf numFmtId="4" fontId="16" fillId="0" borderId="28" xfId="0" applyNumberFormat="1" applyFont="1" applyBorder="1"/>
    <xf numFmtId="2" fontId="33" fillId="0" borderId="5" xfId="0" applyNumberFormat="1" applyFont="1" applyBorder="1" applyAlignment="1">
      <alignment wrapText="1"/>
    </xf>
    <xf numFmtId="2" fontId="33" fillId="0" borderId="3" xfId="0" applyNumberFormat="1" applyFont="1" applyBorder="1" applyAlignment="1">
      <alignment wrapText="1"/>
    </xf>
    <xf numFmtId="0" fontId="16" fillId="0" borderId="3" xfId="0" applyFont="1" applyBorder="1" applyAlignment="1">
      <alignment wrapText="1"/>
    </xf>
    <xf numFmtId="3" fontId="19" fillId="0" borderId="55" xfId="0" applyNumberFormat="1" applyFont="1" applyBorder="1"/>
    <xf numFmtId="0" fontId="53" fillId="0" borderId="69" xfId="0" applyFont="1" applyBorder="1" applyAlignment="1">
      <alignment wrapText="1"/>
    </xf>
    <xf numFmtId="3" fontId="25" fillId="0" borderId="77" xfId="0" applyNumberFormat="1" applyFont="1" applyBorder="1"/>
    <xf numFmtId="3" fontId="25" fillId="0" borderId="74" xfId="0" applyNumberFormat="1" applyFont="1" applyBorder="1"/>
    <xf numFmtId="3" fontId="25" fillId="0" borderId="69" xfId="0" applyNumberFormat="1" applyFont="1" applyBorder="1"/>
    <xf numFmtId="2" fontId="10" fillId="0" borderId="7" xfId="0" applyNumberFormat="1" applyFont="1" applyBorder="1"/>
    <xf numFmtId="4" fontId="20" fillId="0" borderId="74" xfId="0" applyNumberFormat="1" applyFont="1" applyBorder="1"/>
    <xf numFmtId="2" fontId="20" fillId="0" borderId="7" xfId="0" applyNumberFormat="1" applyFont="1" applyBorder="1"/>
    <xf numFmtId="4" fontId="70" fillId="0" borderId="74" xfId="0" applyNumberFormat="1" applyFont="1" applyBorder="1"/>
    <xf numFmtId="3" fontId="70" fillId="0" borderId="69" xfId="0" applyNumberFormat="1" applyFont="1" applyBorder="1"/>
    <xf numFmtId="2" fontId="56" fillId="0" borderId="7" xfId="0" applyNumberFormat="1" applyFont="1" applyBorder="1"/>
    <xf numFmtId="0" fontId="54" fillId="0" borderId="69" xfId="0" applyFont="1" applyBorder="1" applyAlignment="1">
      <alignment wrapText="1"/>
    </xf>
    <xf numFmtId="0" fontId="10" fillId="0" borderId="3" xfId="0" applyFont="1" applyBorder="1"/>
    <xf numFmtId="0" fontId="31" fillId="0" borderId="44" xfId="0" applyFont="1" applyBorder="1" applyAlignment="1">
      <alignment wrapText="1"/>
    </xf>
    <xf numFmtId="49" fontId="10" fillId="0" borderId="8" xfId="0" applyNumberFormat="1" applyFont="1" applyBorder="1"/>
    <xf numFmtId="0" fontId="90" fillId="0" borderId="47" xfId="0" applyFont="1" applyBorder="1" applyAlignment="1">
      <alignment wrapText="1"/>
    </xf>
    <xf numFmtId="0" fontId="34" fillId="0" borderId="42" xfId="0" applyFont="1" applyBorder="1" applyAlignment="1">
      <alignment wrapText="1"/>
    </xf>
    <xf numFmtId="0" fontId="65" fillId="0" borderId="71" xfId="0" applyFont="1" applyBorder="1" applyAlignment="1">
      <alignment wrapText="1"/>
    </xf>
    <xf numFmtId="0" fontId="10" fillId="0" borderId="19" xfId="0" applyFont="1" applyBorder="1"/>
    <xf numFmtId="0" fontId="10" fillId="0" borderId="31" xfId="0" applyFont="1" applyBorder="1"/>
    <xf numFmtId="3" fontId="19" fillId="0" borderId="5" xfId="0" applyNumberFormat="1" applyFont="1" applyBorder="1"/>
    <xf numFmtId="3" fontId="24" fillId="0" borderId="5" xfId="0" applyNumberFormat="1" applyFont="1" applyBorder="1"/>
    <xf numFmtId="3" fontId="25" fillId="0" borderId="32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2" fontId="0" fillId="0" borderId="4" xfId="0" applyNumberFormat="1" applyBorder="1"/>
    <xf numFmtId="2" fontId="10" fillId="0" borderId="4" xfId="0" applyNumberFormat="1" applyFont="1" applyBorder="1"/>
    <xf numFmtId="2" fontId="10" fillId="0" borderId="40" xfId="0" applyNumberFormat="1" applyFont="1" applyBorder="1"/>
    <xf numFmtId="2" fontId="10" fillId="0" borderId="48" xfId="0" applyNumberFormat="1" applyFont="1" applyBorder="1"/>
    <xf numFmtId="3" fontId="20" fillId="0" borderId="3" xfId="0" applyNumberFormat="1" applyFont="1" applyBorder="1"/>
    <xf numFmtId="3" fontId="25" fillId="0" borderId="31" xfId="0" applyNumberFormat="1" applyFont="1" applyBorder="1"/>
    <xf numFmtId="4" fontId="20" fillId="0" borderId="4" xfId="0" applyNumberFormat="1" applyFont="1" applyBorder="1"/>
    <xf numFmtId="4" fontId="25" fillId="0" borderId="4" xfId="0" applyNumberFormat="1" applyFont="1" applyBorder="1"/>
    <xf numFmtId="4" fontId="25" fillId="0" borderId="40" xfId="0" applyNumberFormat="1" applyFont="1" applyBorder="1"/>
    <xf numFmtId="4" fontId="20" fillId="0" borderId="16" xfId="0" applyNumberFormat="1" applyFont="1" applyBorder="1"/>
    <xf numFmtId="4" fontId="20" fillId="0" borderId="48" xfId="0" applyNumberFormat="1" applyFont="1" applyBorder="1"/>
    <xf numFmtId="2" fontId="20" fillId="0" borderId="23" xfId="0" applyNumberFormat="1" applyFont="1" applyBorder="1"/>
    <xf numFmtId="2" fontId="25" fillId="0" borderId="23" xfId="0" applyNumberFormat="1" applyFont="1" applyBorder="1"/>
    <xf numFmtId="2" fontId="20" fillId="0" borderId="41" xfId="0" applyNumberFormat="1" applyFont="1" applyBorder="1"/>
    <xf numFmtId="2" fontId="20" fillId="0" borderId="54" xfId="0" applyNumberFormat="1" applyFont="1" applyBorder="1"/>
    <xf numFmtId="2" fontId="20" fillId="0" borderId="58" xfId="0" applyNumberFormat="1" applyFont="1" applyBorder="1"/>
    <xf numFmtId="3" fontId="0" fillId="0" borderId="19" xfId="0" applyNumberFormat="1" applyBorder="1"/>
    <xf numFmtId="0" fontId="87" fillId="0" borderId="1" xfId="0" applyFont="1" applyBorder="1" applyAlignment="1">
      <alignment wrapText="1"/>
    </xf>
    <xf numFmtId="0" fontId="87" fillId="0" borderId="1" xfId="0" applyFont="1" applyBorder="1"/>
    <xf numFmtId="0" fontId="87" fillId="0" borderId="34" xfId="0" applyFont="1" applyBorder="1" applyAlignment="1">
      <alignment wrapText="1"/>
    </xf>
    <xf numFmtId="0" fontId="69" fillId="0" borderId="21" xfId="0" applyFont="1" applyBorder="1"/>
    <xf numFmtId="0" fontId="69" fillId="0" borderId="67" xfId="0" applyFont="1" applyBorder="1"/>
    <xf numFmtId="0" fontId="0" fillId="0" borderId="4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9" fillId="0" borderId="26" xfId="0" applyFont="1" applyBorder="1"/>
    <xf numFmtId="0" fontId="2" fillId="0" borderId="60" xfId="0" applyFont="1" applyBorder="1"/>
    <xf numFmtId="0" fontId="0" fillId="0" borderId="60" xfId="0" applyBorder="1"/>
    <xf numFmtId="0" fontId="2" fillId="0" borderId="36" xfId="0" applyFont="1" applyBorder="1"/>
    <xf numFmtId="0" fontId="0" fillId="0" borderId="36" xfId="0" applyBorder="1"/>
    <xf numFmtId="0" fontId="57" fillId="0" borderId="0" xfId="0" applyFont="1" applyBorder="1"/>
    <xf numFmtId="0" fontId="2" fillId="0" borderId="25" xfId="0" applyFont="1" applyBorder="1" applyAlignment="1">
      <alignment wrapText="1"/>
    </xf>
    <xf numFmtId="0" fontId="73" fillId="0" borderId="64" xfId="0" applyFont="1" applyBorder="1" applyAlignment="1"/>
    <xf numFmtId="0" fontId="2" fillId="0" borderId="40" xfId="0" applyFont="1" applyBorder="1"/>
    <xf numFmtId="0" fontId="2" fillId="0" borderId="62" xfId="0" applyFont="1" applyBorder="1"/>
    <xf numFmtId="0" fontId="2" fillId="0" borderId="48" xfId="0" applyFont="1" applyBorder="1"/>
    <xf numFmtId="0" fontId="73" fillId="0" borderId="10" xfId="0" applyFont="1" applyBorder="1"/>
    <xf numFmtId="0" fontId="2" fillId="0" borderId="4" xfId="0" applyFont="1" applyBorder="1"/>
    <xf numFmtId="0" fontId="2" fillId="0" borderId="63" xfId="0" applyFont="1" applyBorder="1" applyAlignment="1">
      <alignment horizontal="center"/>
    </xf>
    <xf numFmtId="2" fontId="2" fillId="0" borderId="0" xfId="0" applyNumberFormat="1" applyFont="1" applyBorder="1"/>
    <xf numFmtId="3" fontId="9" fillId="0" borderId="0" xfId="0" applyNumberFormat="1" applyFont="1"/>
    <xf numFmtId="0" fontId="87" fillId="0" borderId="0" xfId="0" applyFont="1" applyBorder="1"/>
    <xf numFmtId="0" fontId="6" fillId="0" borderId="0" xfId="0" applyFont="1" applyFill="1" applyBorder="1"/>
    <xf numFmtId="3" fontId="6" fillId="0" borderId="62" xfId="0" applyNumberFormat="1" applyFont="1" applyBorder="1"/>
    <xf numFmtId="3" fontId="6" fillId="0" borderId="15" xfId="0" applyNumberFormat="1" applyFont="1" applyBorder="1"/>
    <xf numFmtId="3" fontId="6" fillId="0" borderId="42" xfId="0" applyNumberFormat="1" applyFont="1" applyBorder="1"/>
    <xf numFmtId="3" fontId="6" fillId="0" borderId="29" xfId="0" applyNumberFormat="1" applyFont="1" applyBorder="1"/>
    <xf numFmtId="3" fontId="6" fillId="0" borderId="71" xfId="0" applyNumberFormat="1" applyFont="1" applyBorder="1"/>
    <xf numFmtId="3" fontId="14" fillId="0" borderId="11" xfId="0" applyNumberFormat="1" applyFont="1" applyBorder="1"/>
    <xf numFmtId="3" fontId="14" fillId="0" borderId="72" xfId="0" applyNumberFormat="1" applyFont="1" applyBorder="1"/>
    <xf numFmtId="0" fontId="6" fillId="0" borderId="63" xfId="0" applyFont="1" applyBorder="1"/>
    <xf numFmtId="3" fontId="14" fillId="0" borderId="44" xfId="0" applyNumberFormat="1" applyFont="1" applyBorder="1"/>
    <xf numFmtId="3" fontId="14" fillId="0" borderId="0" xfId="0" applyNumberFormat="1" applyFont="1" applyBorder="1"/>
    <xf numFmtId="0" fontId="58" fillId="0" borderId="8" xfId="0" applyFont="1" applyBorder="1"/>
    <xf numFmtId="0" fontId="58" fillId="0" borderId="44" xfId="0" applyFont="1" applyBorder="1"/>
    <xf numFmtId="3" fontId="6" fillId="0" borderId="56" xfId="0" applyNumberFormat="1" applyFont="1" applyBorder="1"/>
    <xf numFmtId="3" fontId="6" fillId="0" borderId="24" xfId="0" applyNumberFormat="1" applyFont="1" applyBorder="1"/>
    <xf numFmtId="3" fontId="6" fillId="0" borderId="43" xfId="0" applyNumberFormat="1" applyFont="1" applyBorder="1"/>
    <xf numFmtId="3" fontId="6" fillId="0" borderId="44" xfId="0" applyNumberFormat="1" applyFont="1" applyBorder="1"/>
    <xf numFmtId="3" fontId="14" fillId="0" borderId="76" xfId="0" applyNumberFormat="1" applyFont="1" applyBorder="1"/>
    <xf numFmtId="3" fontId="14" fillId="0" borderId="78" xfId="0" applyNumberFormat="1" applyFont="1" applyBorder="1"/>
    <xf numFmtId="3" fontId="6" fillId="0" borderId="0" xfId="0" applyNumberFormat="1" applyFont="1"/>
    <xf numFmtId="0" fontId="2" fillId="0" borderId="59" xfId="0" applyFont="1" applyBorder="1"/>
    <xf numFmtId="2" fontId="0" fillId="0" borderId="64" xfId="0" applyNumberFormat="1" applyBorder="1"/>
    <xf numFmtId="0" fontId="2" fillId="0" borderId="66" xfId="0" applyFont="1" applyBorder="1"/>
    <xf numFmtId="0" fontId="0" fillId="0" borderId="20" xfId="0" applyBorder="1"/>
    <xf numFmtId="0" fontId="0" fillId="0" borderId="64" xfId="0" applyBorder="1"/>
    <xf numFmtId="0" fontId="0" fillId="0" borderId="30" xfId="0" applyBorder="1"/>
    <xf numFmtId="3" fontId="6" fillId="0" borderId="65" xfId="0" applyNumberFormat="1" applyFont="1" applyBorder="1"/>
    <xf numFmtId="3" fontId="6" fillId="0" borderId="21" xfId="0" applyNumberFormat="1" applyFont="1" applyBorder="1"/>
    <xf numFmtId="3" fontId="6" fillId="0" borderId="67" xfId="0" applyNumberFormat="1" applyFont="1" applyBorder="1"/>
    <xf numFmtId="3" fontId="14" fillId="0" borderId="68" xfId="0" applyNumberFormat="1" applyFont="1" applyBorder="1"/>
    <xf numFmtId="3" fontId="87" fillId="0" borderId="21" xfId="0" applyNumberFormat="1" applyFont="1" applyBorder="1"/>
    <xf numFmtId="3" fontId="87" fillId="0" borderId="67" xfId="0" applyNumberFormat="1" applyFont="1" applyBorder="1"/>
    <xf numFmtId="3" fontId="14" fillId="0" borderId="4" xfId="0" applyNumberFormat="1" applyFont="1" applyBorder="1"/>
    <xf numFmtId="3" fontId="2" fillId="0" borderId="19" xfId="0" applyNumberFormat="1" applyFont="1" applyBorder="1"/>
    <xf numFmtId="3" fontId="2" fillId="0" borderId="17" xfId="0" applyNumberFormat="1" applyFont="1" applyBorder="1"/>
    <xf numFmtId="3" fontId="2" fillId="0" borderId="31" xfId="0" applyNumberFormat="1" applyFont="1" applyBorder="1"/>
    <xf numFmtId="3" fontId="2" fillId="0" borderId="13" xfId="0" applyNumberFormat="1" applyFont="1" applyBorder="1"/>
    <xf numFmtId="3" fontId="58" fillId="0" borderId="17" xfId="0" applyNumberFormat="1" applyFont="1" applyBorder="1"/>
    <xf numFmtId="3" fontId="58" fillId="0" borderId="31" xfId="0" applyNumberFormat="1" applyFont="1" applyBorder="1"/>
    <xf numFmtId="0" fontId="2" fillId="0" borderId="49" xfId="0" applyFont="1" applyBorder="1"/>
    <xf numFmtId="0" fontId="73" fillId="0" borderId="39" xfId="0" applyFont="1" applyBorder="1" applyAlignment="1"/>
    <xf numFmtId="2" fontId="0" fillId="0" borderId="30" xfId="0" applyNumberFormat="1" applyBorder="1"/>
    <xf numFmtId="0" fontId="0" fillId="0" borderId="66" xfId="0" applyBorder="1"/>
    <xf numFmtId="0" fontId="0" fillId="0" borderId="51" xfId="0" applyBorder="1"/>
    <xf numFmtId="0" fontId="0" fillId="0" borderId="9" xfId="0" applyBorder="1"/>
    <xf numFmtId="0" fontId="0" fillId="0" borderId="59" xfId="0" applyBorder="1"/>
    <xf numFmtId="3" fontId="2" fillId="0" borderId="22" xfId="0" applyNumberFormat="1" applyFont="1" applyBorder="1"/>
    <xf numFmtId="3" fontId="2" fillId="0" borderId="10" xfId="0" applyNumberFormat="1" applyFont="1" applyBorder="1"/>
    <xf numFmtId="0" fontId="76" fillId="0" borderId="61" xfId="0" applyFont="1" applyBorder="1"/>
    <xf numFmtId="0" fontId="76" fillId="0" borderId="78" xfId="0" applyFont="1" applyBorder="1"/>
    <xf numFmtId="2" fontId="6" fillId="0" borderId="0" xfId="0" applyNumberFormat="1" applyFont="1" applyBorder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2" fontId="89" fillId="0" borderId="0" xfId="0" applyNumberFormat="1" applyFont="1" applyBorder="1"/>
    <xf numFmtId="0" fontId="58" fillId="0" borderId="0" xfId="0" applyFont="1" applyBorder="1"/>
    <xf numFmtId="0" fontId="87" fillId="0" borderId="0" xfId="0" applyFont="1"/>
    <xf numFmtId="0" fontId="2" fillId="0" borderId="64" xfId="0" applyFont="1" applyBorder="1" applyAlignment="1"/>
    <xf numFmtId="0" fontId="0" fillId="0" borderId="41" xfId="0" applyBorder="1" applyAlignment="1"/>
    <xf numFmtId="0" fontId="2" fillId="0" borderId="20" xfId="0" applyFont="1" applyBorder="1" applyAlignment="1">
      <alignment horizontal="center"/>
    </xf>
    <xf numFmtId="0" fontId="0" fillId="0" borderId="21" xfId="0" applyBorder="1" applyAlignment="1"/>
    <xf numFmtId="3" fontId="2" fillId="0" borderId="1" xfId="0" applyNumberFormat="1" applyFont="1" applyBorder="1"/>
    <xf numFmtId="0" fontId="0" fillId="0" borderId="1" xfId="0" applyBorder="1"/>
    <xf numFmtId="0" fontId="85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3" fontId="45" fillId="0" borderId="35" xfId="0" applyNumberFormat="1" applyFont="1" applyBorder="1" applyAlignment="1">
      <alignment wrapText="1"/>
    </xf>
    <xf numFmtId="0" fontId="13" fillId="0" borderId="9" xfId="0" applyFont="1" applyBorder="1" applyAlignment="1">
      <alignment wrapText="1"/>
    </xf>
    <xf numFmtId="3" fontId="45" fillId="0" borderId="8" xfId="0" applyNumberFormat="1" applyFont="1" applyBorder="1" applyAlignment="1">
      <alignment wrapText="1"/>
    </xf>
    <xf numFmtId="0" fontId="13" fillId="0" borderId="44" xfId="0" applyFont="1" applyBorder="1" applyAlignment="1">
      <alignment wrapText="1"/>
    </xf>
    <xf numFmtId="3" fontId="2" fillId="0" borderId="32" xfId="0" applyNumberFormat="1" applyFont="1" applyBorder="1" applyAlignment="1">
      <alignment wrapText="1"/>
    </xf>
    <xf numFmtId="0" fontId="2" fillId="0" borderId="33" xfId="0" applyFont="1" applyBorder="1" applyAlignment="1">
      <alignment wrapText="1"/>
    </xf>
    <xf numFmtId="3" fontId="13" fillId="0" borderId="19" xfId="0" applyNumberFormat="1" applyFont="1" applyBorder="1" applyAlignment="1">
      <alignment wrapText="1"/>
    </xf>
    <xf numFmtId="0" fontId="2" fillId="0" borderId="31" xfId="0" applyFont="1" applyBorder="1" applyAlignment="1">
      <alignment wrapText="1"/>
    </xf>
    <xf numFmtId="2" fontId="9" fillId="0" borderId="41" xfId="0" applyNumberFormat="1" applyFont="1" applyBorder="1" applyAlignment="1">
      <alignment wrapText="1"/>
    </xf>
    <xf numFmtId="0" fontId="69" fillId="0" borderId="58" xfId="0" applyFont="1" applyBorder="1" applyAlignment="1">
      <alignment wrapText="1"/>
    </xf>
    <xf numFmtId="0" fontId="33" fillId="0" borderId="49" xfId="0" applyFont="1" applyBorder="1" applyAlignment="1"/>
    <xf numFmtId="0" fontId="19" fillId="0" borderId="39" xfId="0" applyFont="1" applyBorder="1" applyAlignment="1"/>
    <xf numFmtId="0" fontId="0" fillId="0" borderId="14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35" xfId="0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2" fillId="0" borderId="16" xfId="0" applyFont="1" applyBorder="1" applyAlignment="1"/>
    <xf numFmtId="0" fontId="0" fillId="0" borderId="54" xfId="0" applyBorder="1" applyAlignment="1"/>
    <xf numFmtId="0" fontId="97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69" fillId="0" borderId="55" xfId="0" applyFont="1" applyBorder="1" applyAlignment="1">
      <alignment wrapText="1"/>
    </xf>
    <xf numFmtId="0" fontId="14" fillId="0" borderId="62" xfId="0" applyFont="1" applyBorder="1" applyAlignment="1">
      <alignment horizontal="center" wrapText="1"/>
    </xf>
    <xf numFmtId="0" fontId="14" fillId="0" borderId="63" xfId="0" applyFont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0" borderId="0" xfId="0" applyAlignment="1">
      <alignment horizontal="right"/>
    </xf>
    <xf numFmtId="0" fontId="88" fillId="0" borderId="0" xfId="0" applyFont="1" applyBorder="1" applyAlignment="1">
      <alignment horizontal="center"/>
    </xf>
    <xf numFmtId="0" fontId="76" fillId="0" borderId="4" xfId="0" applyFont="1" applyBorder="1" applyAlignment="1">
      <alignment horizontal="center"/>
    </xf>
    <xf numFmtId="0" fontId="76" fillId="0" borderId="23" xfId="0" applyFont="1" applyBorder="1" applyAlignment="1">
      <alignment horizontal="center"/>
    </xf>
    <xf numFmtId="0" fontId="87" fillId="0" borderId="0" xfId="0" applyFont="1" applyBorder="1" applyAlignment="1">
      <alignment horizontal="left"/>
    </xf>
    <xf numFmtId="0" fontId="87" fillId="0" borderId="0" xfId="0" applyFont="1" applyBorder="1" applyAlignment="1"/>
    <xf numFmtId="3" fontId="57" fillId="0" borderId="0" xfId="0" applyNumberFormat="1" applyFont="1" applyBorder="1" applyAlignment="1">
      <alignment horizontal="right"/>
    </xf>
    <xf numFmtId="3" fontId="99" fillId="0" borderId="0" xfId="0" applyNumberFormat="1" applyFont="1" applyBorder="1" applyAlignment="1">
      <alignment horizontal="right"/>
    </xf>
    <xf numFmtId="0" fontId="0" fillId="0" borderId="52" xfId="0" applyBorder="1" applyAlignment="1"/>
    <xf numFmtId="0" fontId="0" fillId="0" borderId="76" xfId="0" applyBorder="1" applyAlignment="1"/>
    <xf numFmtId="0" fontId="2" fillId="0" borderId="7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98" fillId="0" borderId="0" xfId="0" applyFont="1" applyBorder="1" applyAlignment="1"/>
    <xf numFmtId="0" fontId="69" fillId="0" borderId="0" xfId="0" applyFont="1" applyBorder="1" applyAlignment="1"/>
    <xf numFmtId="0" fontId="0" fillId="0" borderId="0" xfId="0" applyFont="1" applyBorder="1" applyAlignment="1"/>
    <xf numFmtId="0" fontId="56" fillId="0" borderId="51" xfId="0" applyFont="1" applyBorder="1" applyAlignment="1">
      <alignment horizontal="center" wrapText="1"/>
    </xf>
    <xf numFmtId="0" fontId="56" fillId="0" borderId="2" xfId="0" applyFont="1" applyBorder="1" applyAlignment="1">
      <alignment horizontal="center" wrapText="1"/>
    </xf>
    <xf numFmtId="0" fontId="56" fillId="0" borderId="66" xfId="0" applyFont="1" applyBorder="1" applyAlignment="1">
      <alignment horizontal="center" wrapText="1"/>
    </xf>
    <xf numFmtId="0" fontId="56" fillId="0" borderId="12" xfId="0" applyFont="1" applyBorder="1" applyAlignment="1">
      <alignment horizontal="center" wrapText="1"/>
    </xf>
    <xf numFmtId="3" fontId="58" fillId="0" borderId="5" xfId="0" applyNumberFormat="1" applyFont="1" applyBorder="1" applyAlignment="1">
      <alignment horizontal="center"/>
    </xf>
    <xf numFmtId="3" fontId="58" fillId="0" borderId="23" xfId="0" applyNumberFormat="1" applyFont="1" applyBorder="1" applyAlignment="1">
      <alignment horizontal="center"/>
    </xf>
    <xf numFmtId="0" fontId="56" fillId="0" borderId="69" xfId="0" applyFont="1" applyBorder="1" applyAlignment="1">
      <alignment horizontal="center" wrapText="1"/>
    </xf>
    <xf numFmtId="0" fontId="56" fillId="0" borderId="0" xfId="0" applyFont="1" applyBorder="1" applyAlignment="1">
      <alignment horizontal="center" wrapText="1"/>
    </xf>
    <xf numFmtId="0" fontId="56" fillId="0" borderId="59" xfId="0" applyFont="1" applyBorder="1" applyAlignment="1">
      <alignment horizontal="center" wrapText="1"/>
    </xf>
    <xf numFmtId="0" fontId="56" fillId="0" borderId="39" xfId="0" applyFont="1" applyBorder="1" applyAlignment="1">
      <alignment horizontal="center" wrapText="1"/>
    </xf>
    <xf numFmtId="0" fontId="73" fillId="0" borderId="38" xfId="0" applyFont="1" applyBorder="1" applyAlignment="1">
      <alignment horizontal="center" wrapText="1"/>
    </xf>
    <xf numFmtId="0" fontId="73" fillId="0" borderId="10" xfId="0" applyFont="1" applyBorder="1" applyAlignment="1">
      <alignment horizontal="center" wrapText="1"/>
    </xf>
    <xf numFmtId="0" fontId="57" fillId="0" borderId="38" xfId="0" applyFont="1" applyBorder="1" applyAlignment="1">
      <alignment horizontal="center" wrapText="1"/>
    </xf>
    <xf numFmtId="0" fontId="57" fillId="0" borderId="7" xfId="0" applyFont="1" applyBorder="1" applyAlignment="1">
      <alignment horizontal="center" wrapText="1"/>
    </xf>
    <xf numFmtId="0" fontId="2" fillId="0" borderId="52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0" fillId="0" borderId="20" xfId="0" applyBorder="1" applyAlignment="1">
      <alignment horizontal="left"/>
    </xf>
    <xf numFmtId="3" fontId="0" fillId="0" borderId="1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3" fontId="24" fillId="0" borderId="27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3" fontId="24" fillId="0" borderId="28" xfId="0" applyNumberFormat="1" applyFont="1" applyBorder="1" applyAlignment="1">
      <alignment horizontal="center" vertical="center"/>
    </xf>
    <xf numFmtId="3" fontId="24" fillId="0" borderId="39" xfId="0" applyNumberFormat="1" applyFont="1" applyBorder="1" applyAlignment="1">
      <alignment horizontal="center" vertical="center"/>
    </xf>
    <xf numFmtId="0" fontId="57" fillId="0" borderId="32" xfId="0" applyFon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8"/>
  <sheetViews>
    <sheetView topLeftCell="A54" workbookViewId="0">
      <selection activeCell="D176" sqref="D176"/>
    </sheetView>
  </sheetViews>
  <sheetFormatPr defaultRowHeight="15"/>
  <cols>
    <col min="1" max="1" width="6.28515625" customWidth="1"/>
    <col min="2" max="2" width="62.42578125" customWidth="1"/>
    <col min="3" max="3" width="12.85546875" style="548" hidden="1" customWidth="1"/>
    <col min="4" max="4" width="17" customWidth="1"/>
    <col min="5" max="5" width="16.5703125" customWidth="1"/>
    <col min="6" max="6" width="23" customWidth="1"/>
    <col min="7" max="7" width="15.42578125" style="5" customWidth="1"/>
    <col min="8" max="8" width="11.140625" style="5" customWidth="1"/>
    <col min="9" max="9" width="14.5703125" style="5" customWidth="1"/>
    <col min="10" max="10" width="17.140625" style="5" customWidth="1"/>
    <col min="11" max="11" width="6.5703125" style="548" hidden="1" customWidth="1"/>
    <col min="12" max="12" width="8.7109375" customWidth="1"/>
    <col min="13" max="13" width="10.28515625" customWidth="1"/>
  </cols>
  <sheetData>
    <row r="1" spans="1:9" hidden="1">
      <c r="B1" s="1" t="s">
        <v>0</v>
      </c>
      <c r="C1" s="592"/>
      <c r="D1" s="3"/>
      <c r="F1" s="4"/>
    </row>
    <row r="2" spans="1:9" hidden="1">
      <c r="B2" s="1" t="s">
        <v>1</v>
      </c>
      <c r="C2" s="592"/>
      <c r="D2" s="3"/>
      <c r="F2" s="4"/>
    </row>
    <row r="3" spans="1:9" hidden="1">
      <c r="B3" s="1" t="s">
        <v>2</v>
      </c>
      <c r="C3" s="592"/>
      <c r="D3" s="3"/>
      <c r="F3" s="4"/>
    </row>
    <row r="4" spans="1:9" hidden="1">
      <c r="C4" s="593"/>
      <c r="F4" s="4"/>
    </row>
    <row r="5" spans="1:9" hidden="1">
      <c r="C5" s="593"/>
      <c r="F5" s="4"/>
    </row>
    <row r="6" spans="1:9" ht="14.25" customHeight="1">
      <c r="A6" s="7"/>
      <c r="B6" s="7" t="s">
        <v>3</v>
      </c>
      <c r="C6" s="594"/>
      <c r="D6" s="9"/>
      <c r="E6" s="10"/>
      <c r="F6" s="11"/>
    </row>
    <row r="7" spans="1:9">
      <c r="A7" s="7"/>
      <c r="B7" s="7" t="s">
        <v>301</v>
      </c>
      <c r="C7" s="594"/>
      <c r="D7" s="9"/>
      <c r="E7" s="10"/>
      <c r="F7" s="11"/>
    </row>
    <row r="8" spans="1:9">
      <c r="A8" s="7"/>
      <c r="B8" s="7"/>
      <c r="C8" s="594"/>
      <c r="D8" s="9"/>
      <c r="E8" s="10"/>
      <c r="F8" s="11"/>
    </row>
    <row r="9" spans="1:9">
      <c r="A9" s="7"/>
      <c r="B9" s="7"/>
      <c r="C9" s="594"/>
      <c r="D9" s="12" t="s">
        <v>4</v>
      </c>
      <c r="E9" s="13"/>
      <c r="F9" s="654"/>
      <c r="G9" s="261" t="s">
        <v>326</v>
      </c>
      <c r="H9" s="261" t="s">
        <v>327</v>
      </c>
    </row>
    <row r="10" spans="1:9">
      <c r="A10" s="7"/>
      <c r="B10" s="7"/>
      <c r="C10" s="594"/>
      <c r="D10" s="956" t="s">
        <v>5</v>
      </c>
      <c r="E10" s="957"/>
      <c r="F10" s="118">
        <f>G10+H10</f>
        <v>31935.8</v>
      </c>
      <c r="G10" s="261">
        <v>17726.5</v>
      </c>
      <c r="H10" s="261">
        <v>14209.3</v>
      </c>
    </row>
    <row r="11" spans="1:9">
      <c r="A11" s="7"/>
      <c r="B11" s="7"/>
      <c r="C11" s="594"/>
      <c r="D11" s="12" t="s">
        <v>6</v>
      </c>
      <c r="E11" s="16"/>
      <c r="F11" s="118">
        <f>1382.5+74.4+200.3</f>
        <v>1657.2</v>
      </c>
      <c r="G11" s="261">
        <f>54.6+350.4+109.8+365.7+110.9</f>
        <v>991.4</v>
      </c>
      <c r="H11" s="261">
        <f>74.4+200.3+94.2+205.5+91.4</f>
        <v>665.80000000000007</v>
      </c>
    </row>
    <row r="12" spans="1:9">
      <c r="A12" s="7"/>
      <c r="B12" s="7"/>
      <c r="C12" s="594"/>
      <c r="D12" s="956" t="s">
        <v>7</v>
      </c>
      <c r="E12" s="957"/>
      <c r="F12" s="118">
        <f>F11+F10</f>
        <v>33593</v>
      </c>
      <c r="G12" s="261">
        <f>G10+G11</f>
        <v>18717.900000000001</v>
      </c>
      <c r="H12" s="261">
        <f>H10+H11</f>
        <v>14875.099999999999</v>
      </c>
    </row>
    <row r="13" spans="1:9" ht="27" customHeight="1">
      <c r="A13" s="7"/>
      <c r="B13" s="7"/>
      <c r="C13" s="594"/>
      <c r="D13" s="958" t="s">
        <v>8</v>
      </c>
      <c r="E13" s="958"/>
      <c r="F13" s="656">
        <f>F23</f>
        <v>46.509618429930839</v>
      </c>
      <c r="G13" s="655">
        <f>G12*100/F12</f>
        <v>55.719643973446857</v>
      </c>
      <c r="H13" s="655">
        <f>H12*100/F12</f>
        <v>44.280356026553143</v>
      </c>
      <c r="I13" s="5" t="s">
        <v>345</v>
      </c>
    </row>
    <row r="14" spans="1:9">
      <c r="A14" s="7"/>
      <c r="B14" s="7" t="s">
        <v>9</v>
      </c>
      <c r="C14" s="594"/>
      <c r="E14" s="10"/>
      <c r="F14" s="11"/>
    </row>
    <row r="15" spans="1:9">
      <c r="A15" s="17" t="s">
        <v>10</v>
      </c>
      <c r="B15" s="17" t="s">
        <v>11</v>
      </c>
      <c r="C15" s="595" t="s">
        <v>12</v>
      </c>
      <c r="D15" s="17" t="s">
        <v>13</v>
      </c>
      <c r="E15" s="305" t="s">
        <v>212</v>
      </c>
      <c r="F15" s="11"/>
    </row>
    <row r="16" spans="1:9">
      <c r="A16" s="954" t="s">
        <v>14</v>
      </c>
      <c r="B16" s="955"/>
      <c r="C16" s="595" t="s">
        <v>15</v>
      </c>
      <c r="D16" s="16" t="s">
        <v>15</v>
      </c>
      <c r="E16" s="19"/>
      <c r="F16" s="11"/>
    </row>
    <row r="17" spans="1:13">
      <c r="A17" s="17" t="s">
        <v>16</v>
      </c>
      <c r="B17" s="17" t="s">
        <v>17</v>
      </c>
      <c r="C17" s="595"/>
      <c r="D17" s="16"/>
      <c r="E17" s="19"/>
      <c r="F17" s="11"/>
    </row>
    <row r="18" spans="1:13">
      <c r="A18" s="17" t="s">
        <v>18</v>
      </c>
      <c r="B18" s="17" t="s">
        <v>19</v>
      </c>
      <c r="C18" s="596">
        <f>D18*12</f>
        <v>17823862.467055023</v>
      </c>
      <c r="D18" s="21">
        <f>F13*F10</f>
        <v>1485321.8722545851</v>
      </c>
      <c r="E18" s="192">
        <f>D18*12</f>
        <v>17823862.467055023</v>
      </c>
      <c r="F18" s="11"/>
    </row>
    <row r="19" spans="1:13">
      <c r="A19" s="17"/>
      <c r="B19" s="17" t="s">
        <v>20</v>
      </c>
      <c r="C19" s="596">
        <f>D19*12</f>
        <v>924908.87594497658</v>
      </c>
      <c r="D19" s="21">
        <f>F13*F11</f>
        <v>77075.739662081382</v>
      </c>
      <c r="E19" s="192">
        <f>D19*12</f>
        <v>924908.87594497658</v>
      </c>
      <c r="F19" s="11"/>
    </row>
    <row r="20" spans="1:13" ht="15.75" thickBot="1">
      <c r="A20" s="368"/>
      <c r="B20" s="368" t="s">
        <v>21</v>
      </c>
      <c r="C20" s="597">
        <f>C18+C19</f>
        <v>18748771.342999998</v>
      </c>
      <c r="D20" s="369">
        <f>D18+D19</f>
        <v>1562397.6119166666</v>
      </c>
      <c r="E20" s="370">
        <f>D20*12</f>
        <v>18748771.342999998</v>
      </c>
      <c r="F20" s="11"/>
      <c r="G20" s="308">
        <f>D23-G23</f>
        <v>8802847.705080403</v>
      </c>
      <c r="H20" s="308"/>
      <c r="I20" s="308">
        <f>G20-I23</f>
        <v>0</v>
      </c>
      <c r="J20" s="308"/>
    </row>
    <row r="21" spans="1:13" ht="30" customHeight="1" thickBot="1">
      <c r="A21" s="374"/>
      <c r="B21" s="970" t="s">
        <v>22</v>
      </c>
      <c r="C21" s="598"/>
      <c r="D21" s="964" t="s">
        <v>323</v>
      </c>
      <c r="E21" s="966" t="s">
        <v>324</v>
      </c>
      <c r="F21" s="968" t="s">
        <v>24</v>
      </c>
      <c r="G21" s="960" t="s">
        <v>25</v>
      </c>
      <c r="H21" s="961"/>
      <c r="I21" s="962" t="s">
        <v>325</v>
      </c>
      <c r="J21" s="963"/>
      <c r="K21" s="549"/>
      <c r="L21" s="325"/>
    </row>
    <row r="22" spans="1:13" ht="72" customHeight="1" thickBot="1">
      <c r="A22" s="371"/>
      <c r="B22" s="971"/>
      <c r="C22" s="599" t="s">
        <v>23</v>
      </c>
      <c r="D22" s="965"/>
      <c r="E22" s="967"/>
      <c r="F22" s="969"/>
      <c r="G22" s="375" t="s">
        <v>323</v>
      </c>
      <c r="H22" s="333" t="s">
        <v>24</v>
      </c>
      <c r="I22" s="413" t="s">
        <v>323</v>
      </c>
      <c r="J22" s="372" t="s">
        <v>24</v>
      </c>
      <c r="K22" s="550" t="s">
        <v>214</v>
      </c>
      <c r="L22" s="373" t="s">
        <v>230</v>
      </c>
    </row>
    <row r="23" spans="1:13" ht="26.25" customHeight="1" thickBot="1">
      <c r="A23" s="33">
        <v>1</v>
      </c>
      <c r="B23" s="334" t="s">
        <v>27</v>
      </c>
      <c r="C23" s="600"/>
      <c r="D23" s="41">
        <f>D26+D44+D47+D51+D55+D77+D63</f>
        <v>18748771.343000002</v>
      </c>
      <c r="E23" s="41">
        <f>E26+E44+E47+E51+E55+E77+E63</f>
        <v>1562397.6119166669</v>
      </c>
      <c r="F23" s="664">
        <f>F26+F44+F47+F51+F55+F77+F63</f>
        <v>46.509618429930839</v>
      </c>
      <c r="G23" s="211">
        <f>G26+G44+G47+G51+G55+G77+G63</f>
        <v>9945923.6379195992</v>
      </c>
      <c r="H23" s="69">
        <f>H26+H44+H47+H51+H55+H63+H77</f>
        <v>44.279912267221931</v>
      </c>
      <c r="I23" s="362">
        <f>I26+I44+I47+I51+I55+I77+I63</f>
        <v>8802847.7050803993</v>
      </c>
      <c r="J23" s="383">
        <f>J26+J44+J47+J51+J55+J63+J77</f>
        <v>49.315341886107205</v>
      </c>
      <c r="K23" s="551"/>
      <c r="L23" s="179"/>
      <c r="M23" s="3">
        <f>E23/F23</f>
        <v>33593.000000000007</v>
      </c>
    </row>
    <row r="24" spans="1:13" ht="34.5" customHeight="1" thickBot="1">
      <c r="A24" s="33" t="s">
        <v>28</v>
      </c>
      <c r="B24" s="34" t="s">
        <v>236</v>
      </c>
      <c r="C24" s="601"/>
      <c r="D24" s="329"/>
      <c r="E24" s="329"/>
      <c r="F24" s="330"/>
      <c r="G24" s="331"/>
      <c r="H24" s="414"/>
      <c r="I24" s="363"/>
      <c r="J24" s="376"/>
      <c r="K24" s="551"/>
      <c r="L24" s="179"/>
    </row>
    <row r="25" spans="1:13" ht="11.25" customHeight="1">
      <c r="A25" s="28"/>
      <c r="B25" s="338"/>
      <c r="C25" s="602"/>
      <c r="D25" s="339"/>
      <c r="E25" s="339"/>
      <c r="F25" s="340"/>
      <c r="G25" s="341"/>
      <c r="H25" s="415"/>
      <c r="I25" s="341"/>
      <c r="J25" s="341"/>
      <c r="K25" s="552"/>
      <c r="L25" s="342"/>
    </row>
    <row r="26" spans="1:13" ht="18" customHeight="1" thickBot="1">
      <c r="A26" s="326"/>
      <c r="B26" s="327" t="s">
        <v>256</v>
      </c>
      <c r="C26" s="603"/>
      <c r="D26" s="328">
        <f>SUM(D27:D43)</f>
        <v>3927850</v>
      </c>
      <c r="E26" s="328">
        <f t="shared" ref="E26:J26" si="0">SUM(E27:E43)</f>
        <v>327320.83333333337</v>
      </c>
      <c r="F26" s="328">
        <f t="shared" si="0"/>
        <v>9.7437214102144303</v>
      </c>
      <c r="G26" s="328">
        <f t="shared" si="0"/>
        <v>1599480.7399999998</v>
      </c>
      <c r="H26" s="328">
        <f t="shared" si="0"/>
        <v>7.1209944313553679</v>
      </c>
      <c r="I26" s="328">
        <f t="shared" si="0"/>
        <v>2328369.2600000002</v>
      </c>
      <c r="J26" s="585">
        <f t="shared" si="0"/>
        <v>13.043997799454571</v>
      </c>
      <c r="K26" s="553"/>
      <c r="L26" s="419" t="s">
        <v>307</v>
      </c>
    </row>
    <row r="27" spans="1:13" ht="30.75" customHeight="1">
      <c r="A27" s="43" t="s">
        <v>231</v>
      </c>
      <c r="B27" s="44" t="s">
        <v>253</v>
      </c>
      <c r="C27" s="604" t="s">
        <v>30</v>
      </c>
      <c r="D27" s="347">
        <v>360000</v>
      </c>
      <c r="E27" s="47">
        <f t="shared" ref="E27:E42" si="1">D27/12</f>
        <v>30000</v>
      </c>
      <c r="F27" s="351">
        <f>E27/F12</f>
        <v>0.89304319352246009</v>
      </c>
      <c r="G27" s="323">
        <f t="shared" ref="G27:G39" si="2">D27*55.4%</f>
        <v>199439.99999999997</v>
      </c>
      <c r="H27" s="416">
        <f>G27/G12/12</f>
        <v>0.88792011924414582</v>
      </c>
      <c r="I27" s="348">
        <f t="shared" ref="I27:I39" si="3">D27-G27</f>
        <v>160560.00000000003</v>
      </c>
      <c r="J27" s="381">
        <f>I27/H$12/12</f>
        <v>0.89948975132940312</v>
      </c>
      <c r="K27" s="556"/>
      <c r="L27" s="420"/>
      <c r="M27" s="50"/>
    </row>
    <row r="28" spans="1:13" ht="30.75" customHeight="1">
      <c r="A28" s="51" t="s">
        <v>29</v>
      </c>
      <c r="B28" s="52" t="s">
        <v>255</v>
      </c>
      <c r="C28" s="605" t="s">
        <v>32</v>
      </c>
      <c r="D28" s="54">
        <v>40000</v>
      </c>
      <c r="E28" s="47">
        <f t="shared" si="1"/>
        <v>3333.3333333333335</v>
      </c>
      <c r="F28" s="352">
        <f>E28/F12</f>
        <v>9.9227021502495558E-2</v>
      </c>
      <c r="G28" s="323">
        <f t="shared" si="2"/>
        <v>22159.999999999996</v>
      </c>
      <c r="H28" s="416">
        <f>G28/G12/12</f>
        <v>9.8657791027127309E-2</v>
      </c>
      <c r="I28" s="323">
        <f t="shared" si="3"/>
        <v>17840.000000000004</v>
      </c>
      <c r="J28" s="381">
        <f t="shared" ref="J28:J43" si="4">I28/H$12/12</f>
        <v>9.9943305703267024E-2</v>
      </c>
      <c r="K28" s="584" t="s">
        <v>89</v>
      </c>
      <c r="L28" s="421"/>
      <c r="M28" s="50"/>
    </row>
    <row r="29" spans="1:13" ht="26.25" customHeight="1">
      <c r="A29" s="51" t="s">
        <v>31</v>
      </c>
      <c r="B29" s="52" t="s">
        <v>254</v>
      </c>
      <c r="C29" s="589" t="s">
        <v>34</v>
      </c>
      <c r="D29" s="54">
        <v>60000</v>
      </c>
      <c r="E29" s="47">
        <f t="shared" si="1"/>
        <v>5000</v>
      </c>
      <c r="F29" s="352">
        <f>E29/F12</f>
        <v>0.14884053225374333</v>
      </c>
      <c r="G29" s="323">
        <f>D29*55.4%</f>
        <v>33239.999999999993</v>
      </c>
      <c r="H29" s="416">
        <f>G29/G$12/12</f>
        <v>0.14798668654069094</v>
      </c>
      <c r="I29" s="323">
        <f>D29-G29</f>
        <v>26760.000000000007</v>
      </c>
      <c r="J29" s="381">
        <f t="shared" si="4"/>
        <v>0.14991495855490053</v>
      </c>
      <c r="K29" s="558" t="s">
        <v>90</v>
      </c>
      <c r="L29" s="422"/>
    </row>
    <row r="30" spans="1:13" ht="32.25" customHeight="1">
      <c r="A30" s="56" t="s">
        <v>33</v>
      </c>
      <c r="B30" s="52" t="s">
        <v>36</v>
      </c>
      <c r="C30" s="606"/>
      <c r="D30" s="54">
        <v>45000</v>
      </c>
      <c r="E30" s="47">
        <f t="shared" si="1"/>
        <v>3750</v>
      </c>
      <c r="F30" s="352">
        <f>E30/F12</f>
        <v>0.11163039919030751</v>
      </c>
      <c r="G30" s="323">
        <f t="shared" si="2"/>
        <v>24929.999999999996</v>
      </c>
      <c r="H30" s="416">
        <f t="shared" ref="H30:H43" si="5">G30/G$12/12</f>
        <v>0.11099001490551823</v>
      </c>
      <c r="I30" s="323">
        <f t="shared" si="3"/>
        <v>20070.000000000004</v>
      </c>
      <c r="J30" s="381">
        <f t="shared" si="4"/>
        <v>0.11243621891617539</v>
      </c>
      <c r="K30" s="558"/>
      <c r="L30" s="422"/>
    </row>
    <row r="31" spans="1:13" ht="25.5" customHeight="1">
      <c r="A31" s="51" t="s">
        <v>35</v>
      </c>
      <c r="B31" s="52" t="s">
        <v>257</v>
      </c>
      <c r="C31" s="589" t="s">
        <v>38</v>
      </c>
      <c r="D31" s="54">
        <v>45000</v>
      </c>
      <c r="E31" s="47">
        <f t="shared" si="1"/>
        <v>3750</v>
      </c>
      <c r="F31" s="352">
        <f>E31/F12</f>
        <v>0.11163039919030751</v>
      </c>
      <c r="G31" s="323">
        <f t="shared" si="2"/>
        <v>24929.999999999996</v>
      </c>
      <c r="H31" s="416">
        <f t="shared" si="5"/>
        <v>0.11099001490551823</v>
      </c>
      <c r="I31" s="323">
        <f t="shared" si="3"/>
        <v>20070.000000000004</v>
      </c>
      <c r="J31" s="381">
        <f t="shared" si="4"/>
        <v>0.11243621891617539</v>
      </c>
      <c r="K31" s="558"/>
      <c r="L31" s="422"/>
    </row>
    <row r="32" spans="1:13" ht="25.5" customHeight="1">
      <c r="A32" s="51" t="s">
        <v>37</v>
      </c>
      <c r="B32" s="44" t="s">
        <v>262</v>
      </c>
      <c r="C32" s="589" t="s">
        <v>40</v>
      </c>
      <c r="D32" s="57">
        <v>45000</v>
      </c>
      <c r="E32" s="47">
        <f t="shared" si="1"/>
        <v>3750</v>
      </c>
      <c r="F32" s="352">
        <f>E32/F12</f>
        <v>0.11163039919030751</v>
      </c>
      <c r="G32" s="323">
        <f t="shared" si="2"/>
        <v>24929.999999999996</v>
      </c>
      <c r="H32" s="416">
        <f t="shared" si="5"/>
        <v>0.11099001490551823</v>
      </c>
      <c r="I32" s="323">
        <f t="shared" si="3"/>
        <v>20070.000000000004</v>
      </c>
      <c r="J32" s="381">
        <f t="shared" si="4"/>
        <v>0.11243621891617539</v>
      </c>
      <c r="K32" s="558" t="s">
        <v>232</v>
      </c>
      <c r="L32" s="422"/>
    </row>
    <row r="33" spans="1:12" ht="21.75" customHeight="1">
      <c r="A33" s="51" t="s">
        <v>39</v>
      </c>
      <c r="B33" s="113" t="s">
        <v>223</v>
      </c>
      <c r="C33" s="607"/>
      <c r="D33" s="117">
        <v>81000</v>
      </c>
      <c r="E33" s="117">
        <f t="shared" si="1"/>
        <v>6750</v>
      </c>
      <c r="F33" s="587">
        <f>E33/F12</f>
        <v>0.20093471854255351</v>
      </c>
      <c r="G33" s="341"/>
      <c r="H33" s="586">
        <f t="shared" si="5"/>
        <v>0</v>
      </c>
      <c r="I33" s="38">
        <f t="shared" si="3"/>
        <v>81000</v>
      </c>
      <c r="J33" s="381">
        <f t="shared" si="4"/>
        <v>0.45377846199353283</v>
      </c>
      <c r="K33" s="557" t="s">
        <v>88</v>
      </c>
      <c r="L33" s="423"/>
    </row>
    <row r="34" spans="1:12" ht="21.75" customHeight="1">
      <c r="A34" s="345" t="s">
        <v>86</v>
      </c>
      <c r="B34" s="221" t="s">
        <v>310</v>
      </c>
      <c r="C34" s="608"/>
      <c r="D34" s="117">
        <v>100000</v>
      </c>
      <c r="E34" s="117">
        <f t="shared" si="1"/>
        <v>8333.3333333333339</v>
      </c>
      <c r="F34" s="588">
        <f>E34/F12</f>
        <v>0.24806755375623893</v>
      </c>
      <c r="G34" s="348">
        <f>D34</f>
        <v>100000</v>
      </c>
      <c r="H34" s="416">
        <f t="shared" si="5"/>
        <v>0.44520663820905831</v>
      </c>
      <c r="I34" s="348"/>
      <c r="J34" s="381">
        <f t="shared" si="4"/>
        <v>0</v>
      </c>
      <c r="K34" s="556" t="s">
        <v>87</v>
      </c>
      <c r="L34" s="424"/>
    </row>
    <row r="35" spans="1:12" ht="21.75" customHeight="1">
      <c r="A35" s="345"/>
      <c r="B35" s="113" t="s">
        <v>318</v>
      </c>
      <c r="C35" s="609"/>
      <c r="D35" s="61">
        <f>I35</f>
        <v>202000</v>
      </c>
      <c r="E35" s="336">
        <f t="shared" si="1"/>
        <v>16833.333333333332</v>
      </c>
      <c r="F35" s="353">
        <f>E35/F12</f>
        <v>0.50109645858760254</v>
      </c>
      <c r="G35" s="239"/>
      <c r="H35" s="416">
        <f t="shared" si="5"/>
        <v>0</v>
      </c>
      <c r="I35" s="239">
        <f>102000+(100000)</f>
        <v>202000</v>
      </c>
      <c r="J35" s="381">
        <f t="shared" si="4"/>
        <v>1.131645053366588</v>
      </c>
      <c r="K35" s="558"/>
      <c r="L35" s="422"/>
    </row>
    <row r="36" spans="1:12" ht="33.75" customHeight="1">
      <c r="A36" s="346" t="s">
        <v>87</v>
      </c>
      <c r="B36" s="63" t="s">
        <v>261</v>
      </c>
      <c r="C36" s="610"/>
      <c r="D36" s="61">
        <v>200000</v>
      </c>
      <c r="E36" s="336">
        <f t="shared" si="1"/>
        <v>16666.666666666668</v>
      </c>
      <c r="F36" s="353">
        <f>E36/F12</f>
        <v>0.49613510751247786</v>
      </c>
      <c r="G36" s="239"/>
      <c r="H36" s="416">
        <f t="shared" si="5"/>
        <v>0</v>
      </c>
      <c r="I36" s="239">
        <f>D36-G36</f>
        <v>200000</v>
      </c>
      <c r="J36" s="381">
        <f t="shared" si="4"/>
        <v>1.120440646897612</v>
      </c>
      <c r="K36" s="558" t="s">
        <v>222</v>
      </c>
      <c r="L36" s="422"/>
    </row>
    <row r="37" spans="1:12" ht="21.75" customHeight="1">
      <c r="A37" s="346"/>
      <c r="B37" s="63" t="s">
        <v>319</v>
      </c>
      <c r="C37" s="610"/>
      <c r="D37" s="61">
        <f>I37</f>
        <v>133000</v>
      </c>
      <c r="E37" s="336">
        <f t="shared" si="1"/>
        <v>11083.333333333334</v>
      </c>
      <c r="F37" s="353">
        <f>E37/F12</f>
        <v>0.32992984649579776</v>
      </c>
      <c r="G37" s="239"/>
      <c r="H37" s="416">
        <f t="shared" si="5"/>
        <v>0</v>
      </c>
      <c r="I37" s="239">
        <v>133000</v>
      </c>
      <c r="J37" s="381">
        <f t="shared" si="4"/>
        <v>0.74509303018691198</v>
      </c>
      <c r="K37" s="558"/>
      <c r="L37" s="422"/>
    </row>
    <row r="38" spans="1:12" ht="21.75" customHeight="1">
      <c r="A38" s="346" t="s">
        <v>221</v>
      </c>
      <c r="B38" s="63" t="s">
        <v>314</v>
      </c>
      <c r="C38" s="610"/>
      <c r="D38" s="61">
        <f>G38+I38</f>
        <v>65000</v>
      </c>
      <c r="E38" s="336">
        <f t="shared" si="1"/>
        <v>5416.666666666667</v>
      </c>
      <c r="F38" s="353">
        <f>E38/F12</f>
        <v>0.1612439099415553</v>
      </c>
      <c r="G38" s="239">
        <v>45000</v>
      </c>
      <c r="H38" s="416">
        <f t="shared" si="5"/>
        <v>0.20034298719407626</v>
      </c>
      <c r="I38" s="239">
        <v>20000</v>
      </c>
      <c r="J38" s="381">
        <f t="shared" si="4"/>
        <v>0.11204406468976119</v>
      </c>
      <c r="K38" s="558" t="s">
        <v>221</v>
      </c>
      <c r="L38" s="422"/>
    </row>
    <row r="39" spans="1:12" ht="27" customHeight="1">
      <c r="A39" s="85" t="s">
        <v>41</v>
      </c>
      <c r="B39" s="337" t="s">
        <v>45</v>
      </c>
      <c r="C39" s="611"/>
      <c r="D39" s="54">
        <f>45000*2*1.305*12</f>
        <v>1409400</v>
      </c>
      <c r="E39" s="336">
        <f t="shared" si="1"/>
        <v>117450</v>
      </c>
      <c r="F39" s="353">
        <f>E39/F12</f>
        <v>3.4962641026404309</v>
      </c>
      <c r="G39" s="364">
        <f t="shared" si="2"/>
        <v>780807.59999999986</v>
      </c>
      <c r="H39" s="416">
        <f t="shared" si="5"/>
        <v>3.4762072668408308</v>
      </c>
      <c r="I39" s="364">
        <f t="shared" si="3"/>
        <v>628592.40000000014</v>
      </c>
      <c r="J39" s="381">
        <f t="shared" si="4"/>
        <v>3.5215023764546132</v>
      </c>
      <c r="K39" s="558"/>
      <c r="L39" s="422"/>
    </row>
    <row r="40" spans="1:12" ht="18" customHeight="1">
      <c r="A40" s="85" t="s">
        <v>42</v>
      </c>
      <c r="B40" s="337" t="s">
        <v>309</v>
      </c>
      <c r="C40" s="611"/>
      <c r="D40" s="54">
        <v>225000</v>
      </c>
      <c r="E40" s="336">
        <f t="shared" si="1"/>
        <v>18750</v>
      </c>
      <c r="F40" s="353">
        <f>E40/F12</f>
        <v>0.55815199595153753</v>
      </c>
      <c r="G40" s="364"/>
      <c r="H40" s="416">
        <f t="shared" si="5"/>
        <v>0</v>
      </c>
      <c r="I40" s="364">
        <v>225000</v>
      </c>
      <c r="J40" s="381">
        <f t="shared" si="4"/>
        <v>1.2604957277598134</v>
      </c>
      <c r="K40" s="558"/>
      <c r="L40" s="422"/>
    </row>
    <row r="41" spans="1:12" ht="27" customHeight="1">
      <c r="A41" s="85" t="s">
        <v>43</v>
      </c>
      <c r="B41" s="499" t="s">
        <v>275</v>
      </c>
      <c r="C41" s="612"/>
      <c r="D41" s="54">
        <f>45000*2*1.305</f>
        <v>117450</v>
      </c>
      <c r="E41" s="336">
        <f t="shared" si="1"/>
        <v>9787.5</v>
      </c>
      <c r="F41" s="353">
        <f>E41/F12</f>
        <v>0.29135534188670259</v>
      </c>
      <c r="G41" s="364">
        <f>D41*55.72%</f>
        <v>65443.140000000007</v>
      </c>
      <c r="H41" s="416">
        <f t="shared" si="5"/>
        <v>0.29135720353244754</v>
      </c>
      <c r="I41" s="364">
        <f t="shared" ref="I41" si="6">D41-G41</f>
        <v>52006.859999999993</v>
      </c>
      <c r="J41" s="381">
        <f t="shared" si="4"/>
        <v>0.29135299930756769</v>
      </c>
      <c r="K41" s="558"/>
      <c r="L41" s="422"/>
    </row>
    <row r="42" spans="1:12" ht="27" customHeight="1">
      <c r="A42" s="85" t="s">
        <v>44</v>
      </c>
      <c r="B42" s="337" t="s">
        <v>335</v>
      </c>
      <c r="C42" s="611"/>
      <c r="D42" s="76">
        <f>I42</f>
        <v>300000</v>
      </c>
      <c r="E42" s="356">
        <f t="shared" si="1"/>
        <v>25000</v>
      </c>
      <c r="F42" s="357">
        <f>E42/F12</f>
        <v>0.7442026612687167</v>
      </c>
      <c r="G42" s="412">
        <v>0</v>
      </c>
      <c r="H42" s="416">
        <v>0</v>
      </c>
      <c r="I42" s="412">
        <f>100000*3</f>
        <v>300000</v>
      </c>
      <c r="J42" s="381">
        <f t="shared" si="4"/>
        <v>1.6806609703464179</v>
      </c>
      <c r="K42" s="557"/>
      <c r="L42" s="423"/>
    </row>
    <row r="43" spans="1:12" ht="27" customHeight="1" thickBot="1">
      <c r="A43" s="85" t="s">
        <v>44</v>
      </c>
      <c r="B43" s="337" t="s">
        <v>322</v>
      </c>
      <c r="C43" s="611"/>
      <c r="D43" s="76">
        <v>500000</v>
      </c>
      <c r="E43" s="356">
        <f t="shared" ref="E43" si="7">D43/12</f>
        <v>41666.666666666664</v>
      </c>
      <c r="F43" s="357">
        <f>E43/F12</f>
        <v>1.2403377687811945</v>
      </c>
      <c r="G43" s="412">
        <f>D43*55.72%</f>
        <v>278600</v>
      </c>
      <c r="H43" s="416">
        <f t="shared" si="5"/>
        <v>1.2403456940504365</v>
      </c>
      <c r="I43" s="358">
        <f>D43-G43</f>
        <v>221400</v>
      </c>
      <c r="J43" s="543">
        <f t="shared" si="4"/>
        <v>1.2403277961156565</v>
      </c>
      <c r="K43" s="554"/>
      <c r="L43" s="423"/>
    </row>
    <row r="44" spans="1:12" s="7" customFormat="1" ht="20.25" thickBot="1">
      <c r="A44" s="359"/>
      <c r="B44" s="360" t="s">
        <v>47</v>
      </c>
      <c r="C44" s="613"/>
      <c r="D44" s="68">
        <f>SUM(D45:D46)</f>
        <v>1404995</v>
      </c>
      <c r="E44" s="361">
        <f t="shared" ref="E44:I44" si="8">SUM(E45:E46)</f>
        <v>117082.91666666667</v>
      </c>
      <c r="F44" s="69">
        <f t="shared" si="8"/>
        <v>3.4853367268974687</v>
      </c>
      <c r="G44" s="361">
        <f t="shared" si="8"/>
        <v>782577.21400000004</v>
      </c>
      <c r="H44" s="254">
        <f>SUM(H45:H46)</f>
        <v>3.4840857058395085</v>
      </c>
      <c r="I44" s="361">
        <f t="shared" si="8"/>
        <v>622417.78599999996</v>
      </c>
      <c r="J44" s="546">
        <f>SUM(J45:J46)</f>
        <v>3.4869109339320969</v>
      </c>
      <c r="K44" s="555"/>
      <c r="L44" s="425" t="s">
        <v>274</v>
      </c>
    </row>
    <row r="45" spans="1:12" s="190" customFormat="1" ht="29.25" customHeight="1">
      <c r="A45" s="197" t="s">
        <v>42</v>
      </c>
      <c r="B45" s="44" t="s">
        <v>49</v>
      </c>
      <c r="C45" s="591" t="s">
        <v>50</v>
      </c>
      <c r="D45" s="57">
        <f>117045*11+112500</f>
        <v>1399995</v>
      </c>
      <c r="E45" s="47">
        <f>D45/12</f>
        <v>116666.25</v>
      </c>
      <c r="F45" s="354">
        <f>E45/F12</f>
        <v>3.4729333492096566</v>
      </c>
      <c r="G45" s="323">
        <f>D45*55.72%</f>
        <v>780077.21400000004</v>
      </c>
      <c r="H45" s="416">
        <f>G45/G$12/12</f>
        <v>3.472955539884282</v>
      </c>
      <c r="I45" s="323">
        <f>D45-G45</f>
        <v>619917.78599999996</v>
      </c>
      <c r="J45" s="545">
        <f>I45/H$12/12</f>
        <v>3.4729054258458767</v>
      </c>
      <c r="K45" s="556"/>
      <c r="L45" s="426"/>
    </row>
    <row r="46" spans="1:12" s="190" customFormat="1" ht="30" customHeight="1" thickBot="1">
      <c r="A46" s="199" t="s">
        <v>43</v>
      </c>
      <c r="B46" s="200" t="s">
        <v>52</v>
      </c>
      <c r="C46" s="590" t="s">
        <v>38</v>
      </c>
      <c r="D46" s="122">
        <v>5000</v>
      </c>
      <c r="E46" s="324">
        <f>D46/12</f>
        <v>416.66666666666669</v>
      </c>
      <c r="F46" s="355">
        <f>E46/F12</f>
        <v>1.2403377687811945E-2</v>
      </c>
      <c r="G46" s="341">
        <v>2500</v>
      </c>
      <c r="H46" s="416">
        <f>G46/G$12/12</f>
        <v>1.1130165955226458E-2</v>
      </c>
      <c r="I46" s="341">
        <v>2500</v>
      </c>
      <c r="J46" s="547">
        <f>I46/H$12/12</f>
        <v>1.4005508086220149E-2</v>
      </c>
      <c r="K46" s="557"/>
      <c r="L46" s="427"/>
    </row>
    <row r="47" spans="1:12" s="7" customFormat="1" ht="19.5" customHeight="1" thickBot="1">
      <c r="A47" s="65"/>
      <c r="B47" s="203" t="s">
        <v>53</v>
      </c>
      <c r="C47" s="600"/>
      <c r="D47" s="68">
        <f>SUM(D48:D50)</f>
        <v>522000</v>
      </c>
      <c r="E47" s="68">
        <f t="shared" ref="E47:I47" si="9">SUM(E48:E50)</f>
        <v>43500</v>
      </c>
      <c r="F47" s="69">
        <f t="shared" si="9"/>
        <v>1.2949126306075671</v>
      </c>
      <c r="G47" s="290">
        <f t="shared" si="9"/>
        <v>290858.40000000002</v>
      </c>
      <c r="H47" s="254">
        <f>SUM(H48:H50)</f>
        <v>1.2949209045886558</v>
      </c>
      <c r="I47" s="361">
        <f t="shared" si="9"/>
        <v>231141.59999999998</v>
      </c>
      <c r="J47" s="546">
        <f>SUM(J48:J50)</f>
        <v>1.2949022191447452</v>
      </c>
      <c r="K47" s="555"/>
      <c r="L47" s="425" t="s">
        <v>274</v>
      </c>
    </row>
    <row r="48" spans="1:12" ht="33.75" customHeight="1">
      <c r="A48" s="43" t="s">
        <v>44</v>
      </c>
      <c r="B48" s="44" t="s">
        <v>55</v>
      </c>
      <c r="C48" s="591" t="s">
        <v>56</v>
      </c>
      <c r="D48" s="57">
        <f>36000*12</f>
        <v>432000</v>
      </c>
      <c r="E48" s="47">
        <f t="shared" ref="E48:E96" si="10">D48/12</f>
        <v>36000</v>
      </c>
      <c r="F48" s="48">
        <f>E48/F12</f>
        <v>1.0716518322269522</v>
      </c>
      <c r="G48" s="49">
        <f>D48*55.72%</f>
        <v>240710.40000000002</v>
      </c>
      <c r="H48" s="416">
        <f t="shared" ref="H48:H62" si="11">G48/G$12/12</f>
        <v>1.0716586796595773</v>
      </c>
      <c r="I48" s="323">
        <f t="shared" ref="I48:I54" si="12">D48-G48</f>
        <v>191289.59999999998</v>
      </c>
      <c r="J48" s="545">
        <f t="shared" ref="J48:J62" si="13">I48/H$12/12</f>
        <v>1.0716432158439271</v>
      </c>
      <c r="K48" s="556"/>
      <c r="L48" s="424"/>
    </row>
    <row r="49" spans="1:15" ht="21.75" customHeight="1">
      <c r="A49" s="51" t="s">
        <v>46</v>
      </c>
      <c r="B49" s="52" t="s">
        <v>58</v>
      </c>
      <c r="C49" s="589" t="s">
        <v>59</v>
      </c>
      <c r="D49" s="61">
        <v>30000</v>
      </c>
      <c r="E49" s="47">
        <f>D49/12</f>
        <v>2500</v>
      </c>
      <c r="F49" s="48">
        <f>E49/F12</f>
        <v>7.4420266126871665E-2</v>
      </c>
      <c r="G49" s="49">
        <f>D49*55.72%</f>
        <v>16716</v>
      </c>
      <c r="H49" s="416">
        <f t="shared" si="11"/>
        <v>7.4420741643026186E-2</v>
      </c>
      <c r="I49" s="323">
        <f>D49-G49</f>
        <v>13284</v>
      </c>
      <c r="J49" s="544">
        <f t="shared" si="13"/>
        <v>7.4419667766939382E-2</v>
      </c>
      <c r="K49" s="558"/>
      <c r="L49" s="422"/>
    </row>
    <row r="50" spans="1:15" ht="19.5" customHeight="1" thickBot="1">
      <c r="A50" s="85" t="s">
        <v>48</v>
      </c>
      <c r="B50" s="205" t="s">
        <v>61</v>
      </c>
      <c r="C50" s="590" t="s">
        <v>59</v>
      </c>
      <c r="D50" s="122">
        <v>60000</v>
      </c>
      <c r="E50" s="324">
        <f t="shared" si="10"/>
        <v>5000</v>
      </c>
      <c r="F50" s="196">
        <f>E50/F12</f>
        <v>0.14884053225374333</v>
      </c>
      <c r="G50" s="78">
        <f>D50*55.72%</f>
        <v>33432</v>
      </c>
      <c r="H50" s="417">
        <f t="shared" si="11"/>
        <v>0.14884148328605237</v>
      </c>
      <c r="I50" s="341">
        <f t="shared" si="12"/>
        <v>26568</v>
      </c>
      <c r="J50" s="547">
        <f t="shared" si="13"/>
        <v>0.14883933553387876</v>
      </c>
      <c r="K50" s="557"/>
      <c r="L50" s="423"/>
    </row>
    <row r="51" spans="1:15" ht="18.75" customHeight="1" thickBot="1">
      <c r="A51" s="65"/>
      <c r="B51" s="203" t="s">
        <v>63</v>
      </c>
      <c r="C51" s="600"/>
      <c r="D51" s="68">
        <f t="shared" ref="D51:J51" si="14">SUM(D52:D54)</f>
        <v>649420</v>
      </c>
      <c r="E51" s="68">
        <f t="shared" si="14"/>
        <v>54118.333333333336</v>
      </c>
      <c r="F51" s="69">
        <f t="shared" si="14"/>
        <v>1.6110003076037667</v>
      </c>
      <c r="G51" s="290">
        <f t="shared" si="14"/>
        <v>361856.82400000002</v>
      </c>
      <c r="H51" s="254">
        <f t="shared" si="14"/>
        <v>1.6110106012604688</v>
      </c>
      <c r="I51" s="361">
        <f t="shared" si="14"/>
        <v>287563.17599999998</v>
      </c>
      <c r="J51" s="546">
        <f t="shared" si="14"/>
        <v>1.6109873547068592</v>
      </c>
      <c r="K51" s="559"/>
      <c r="L51" s="500" t="s">
        <v>274</v>
      </c>
    </row>
    <row r="52" spans="1:15" ht="21.75" customHeight="1">
      <c r="A52" s="43" t="s">
        <v>54</v>
      </c>
      <c r="B52" s="44" t="s">
        <v>64</v>
      </c>
      <c r="C52" s="591"/>
      <c r="D52" s="57">
        <v>40000</v>
      </c>
      <c r="E52" s="47">
        <f t="shared" si="10"/>
        <v>3333.3333333333335</v>
      </c>
      <c r="F52" s="48">
        <f>E52/F12</f>
        <v>9.9227021502495558E-2</v>
      </c>
      <c r="G52" s="49">
        <f>D52*55.72%</f>
        <v>22288</v>
      </c>
      <c r="H52" s="416">
        <f t="shared" si="11"/>
        <v>9.9227655524034911E-2</v>
      </c>
      <c r="I52" s="323">
        <f t="shared" si="12"/>
        <v>17712</v>
      </c>
      <c r="J52" s="545">
        <f t="shared" si="13"/>
        <v>9.9226223689252532E-2</v>
      </c>
      <c r="K52" s="556" t="s">
        <v>233</v>
      </c>
      <c r="L52" s="424"/>
    </row>
    <row r="53" spans="1:15" ht="25.5" customHeight="1">
      <c r="A53" s="51" t="s">
        <v>57</v>
      </c>
      <c r="B53" s="63" t="s">
        <v>65</v>
      </c>
      <c r="C53" s="610" t="s">
        <v>66</v>
      </c>
      <c r="D53" s="61">
        <v>20000</v>
      </c>
      <c r="E53" s="47">
        <f t="shared" si="10"/>
        <v>1666.6666666666667</v>
      </c>
      <c r="F53" s="48">
        <f>E53/F12</f>
        <v>4.9613510751247779E-2</v>
      </c>
      <c r="G53" s="49">
        <f>D53*55.72%</f>
        <v>11144</v>
      </c>
      <c r="H53" s="416">
        <f t="shared" si="11"/>
        <v>4.9613827762017455E-2</v>
      </c>
      <c r="I53" s="323">
        <f t="shared" si="12"/>
        <v>8856</v>
      </c>
      <c r="J53" s="544">
        <f t="shared" si="13"/>
        <v>4.9613111844626266E-2</v>
      </c>
      <c r="K53" s="558"/>
      <c r="L53" s="422"/>
    </row>
    <row r="54" spans="1:15" ht="27" customHeight="1" thickBot="1">
      <c r="A54" s="51" t="s">
        <v>60</v>
      </c>
      <c r="B54" s="63" t="s">
        <v>67</v>
      </c>
      <c r="C54" s="610" t="s">
        <v>68</v>
      </c>
      <c r="D54" s="61">
        <v>589420</v>
      </c>
      <c r="E54" s="47">
        <f t="shared" si="10"/>
        <v>49118.333333333336</v>
      </c>
      <c r="F54" s="48">
        <f>E54/F12</f>
        <v>1.4621597753500233</v>
      </c>
      <c r="G54" s="49">
        <f>D54*55.72%</f>
        <v>328424.82400000002</v>
      </c>
      <c r="H54" s="418">
        <f t="shared" si="11"/>
        <v>1.4621691179744165</v>
      </c>
      <c r="I54" s="323">
        <f t="shared" si="12"/>
        <v>260995.17599999998</v>
      </c>
      <c r="J54" s="547">
        <f t="shared" si="13"/>
        <v>1.4621480191729803</v>
      </c>
      <c r="K54" s="557"/>
      <c r="L54" s="423"/>
    </row>
    <row r="55" spans="1:15" ht="40.5" customHeight="1" thickBot="1">
      <c r="A55" s="65" t="s">
        <v>69</v>
      </c>
      <c r="B55" s="66" t="s">
        <v>237</v>
      </c>
      <c r="C55" s="601"/>
      <c r="D55" s="254">
        <f>SUM(D56:D62)</f>
        <v>2986099.0430000001</v>
      </c>
      <c r="E55" s="254">
        <f t="shared" ref="E55:I55" si="15">SUM(E56:E62)</f>
        <v>248841.58691666668</v>
      </c>
      <c r="F55" s="434">
        <f t="shared" si="15"/>
        <v>7.4075428487085615</v>
      </c>
      <c r="G55" s="254">
        <f t="shared" si="15"/>
        <v>1663547.5867596001</v>
      </c>
      <c r="H55" s="291">
        <f>SUM(H56:H62)</f>
        <v>7.4062242860203336</v>
      </c>
      <c r="I55" s="291">
        <f t="shared" si="15"/>
        <v>1322551.4562404</v>
      </c>
      <c r="J55" s="546">
        <f>SUM(J56:J62)</f>
        <v>7.4092020459268628</v>
      </c>
      <c r="K55" s="551"/>
      <c r="L55" s="179"/>
    </row>
    <row r="56" spans="1:15" ht="27.75" customHeight="1">
      <c r="A56" s="43" t="s">
        <v>70</v>
      </c>
      <c r="B56" s="44" t="s">
        <v>71</v>
      </c>
      <c r="C56" s="614" t="s">
        <v>72</v>
      </c>
      <c r="D56" s="57">
        <f>4830199.5*5%+0.02</f>
        <v>241509.995</v>
      </c>
      <c r="E56" s="46">
        <f t="shared" si="10"/>
        <v>20125.832916666666</v>
      </c>
      <c r="F56" s="435">
        <f>E56/F12</f>
        <v>0.59910793667331486</v>
      </c>
      <c r="G56" s="49">
        <f>D56*55.72%</f>
        <v>134569.36921400001</v>
      </c>
      <c r="H56" s="429">
        <f t="shared" si="11"/>
        <v>0.59911176473678485</v>
      </c>
      <c r="I56" s="323">
        <f>D56-G56</f>
        <v>106940.62578599999</v>
      </c>
      <c r="J56" s="545">
        <f t="shared" si="13"/>
        <v>0.59910311967650631</v>
      </c>
      <c r="K56" s="560"/>
      <c r="L56" s="424" t="s">
        <v>278</v>
      </c>
    </row>
    <row r="57" spans="1:15" ht="63.75" customHeight="1">
      <c r="A57" s="51" t="s">
        <v>73</v>
      </c>
      <c r="B57" s="63" t="s">
        <v>74</v>
      </c>
      <c r="C57" s="614" t="s">
        <v>75</v>
      </c>
      <c r="D57" s="61">
        <f>(33200+41165+10920+14368+34495)*12*1.302</f>
        <v>2095928.3520000002</v>
      </c>
      <c r="E57" s="46">
        <f>D57/12</f>
        <v>174660.69600000003</v>
      </c>
      <c r="F57" s="435">
        <f>E57/F12</f>
        <v>5.1993181912898532</v>
      </c>
      <c r="G57" s="49">
        <f>D57*55.72%</f>
        <v>1167851.2777344002</v>
      </c>
      <c r="H57" s="416">
        <f t="shared" si="11"/>
        <v>5.199351412882856</v>
      </c>
      <c r="I57" s="323">
        <f>D57-G57</f>
        <v>928077.07426559995</v>
      </c>
      <c r="J57" s="544">
        <f t="shared" si="13"/>
        <v>5.1992763873049599</v>
      </c>
      <c r="K57" s="558" t="s">
        <v>224</v>
      </c>
      <c r="L57" s="422" t="s">
        <v>274</v>
      </c>
      <c r="O57" s="337"/>
    </row>
    <row r="58" spans="1:15" s="10" customFormat="1" ht="29.25" customHeight="1">
      <c r="A58" s="321" t="s">
        <v>76</v>
      </c>
      <c r="B58" s="63" t="s">
        <v>77</v>
      </c>
      <c r="C58" s="615" t="s">
        <v>78</v>
      </c>
      <c r="D58" s="61">
        <v>60000</v>
      </c>
      <c r="E58" s="46">
        <f t="shared" si="10"/>
        <v>5000</v>
      </c>
      <c r="F58" s="322">
        <f>E58/F12</f>
        <v>0.14884053225374333</v>
      </c>
      <c r="G58" s="83">
        <f>D58*55.72%</f>
        <v>33432</v>
      </c>
      <c r="H58" s="416">
        <f t="shared" si="11"/>
        <v>0.14884148328605237</v>
      </c>
      <c r="I58" s="348">
        <f>D58-G58</f>
        <v>26568</v>
      </c>
      <c r="J58" s="544">
        <f t="shared" si="13"/>
        <v>0.14883933553387876</v>
      </c>
      <c r="K58" s="561"/>
      <c r="L58" s="430" t="s">
        <v>274</v>
      </c>
    </row>
    <row r="59" spans="1:15" s="10" customFormat="1" ht="19.5" customHeight="1">
      <c r="A59" s="321" t="s">
        <v>91</v>
      </c>
      <c r="B59" s="63" t="s">
        <v>264</v>
      </c>
      <c r="C59" s="615"/>
      <c r="D59" s="61">
        <f>G59+I59</f>
        <v>119000</v>
      </c>
      <c r="E59" s="46">
        <f t="shared" si="10"/>
        <v>9916.6666666666661</v>
      </c>
      <c r="F59" s="322">
        <f>E59/F12</f>
        <v>0.29520038896992429</v>
      </c>
      <c r="G59" s="83">
        <v>66000</v>
      </c>
      <c r="H59" s="416">
        <f t="shared" si="11"/>
        <v>0.2938363812179785</v>
      </c>
      <c r="I59" s="348">
        <v>53000</v>
      </c>
      <c r="J59" s="544">
        <f t="shared" si="13"/>
        <v>0.29691677142786715</v>
      </c>
      <c r="K59" s="561" t="s">
        <v>229</v>
      </c>
      <c r="L59" s="422" t="s">
        <v>274</v>
      </c>
    </row>
    <row r="60" spans="1:15" ht="45.75" customHeight="1">
      <c r="A60" s="51" t="s">
        <v>79</v>
      </c>
      <c r="B60" s="71" t="s">
        <v>258</v>
      </c>
      <c r="C60" s="616" t="s">
        <v>80</v>
      </c>
      <c r="D60" s="54">
        <v>100000</v>
      </c>
      <c r="E60" s="46">
        <f t="shared" si="10"/>
        <v>8333.3333333333339</v>
      </c>
      <c r="F60" s="435">
        <f>E60/F12</f>
        <v>0.24806755375623893</v>
      </c>
      <c r="G60" s="49">
        <f>D60*55.72%</f>
        <v>55720</v>
      </c>
      <c r="H60" s="416">
        <f t="shared" si="11"/>
        <v>0.2480691388100873</v>
      </c>
      <c r="I60" s="323">
        <f>D60-G60</f>
        <v>44280</v>
      </c>
      <c r="J60" s="544">
        <f t="shared" si="13"/>
        <v>0.24806555922313131</v>
      </c>
      <c r="K60" s="558"/>
      <c r="L60" s="422" t="s">
        <v>274</v>
      </c>
    </row>
    <row r="61" spans="1:15" ht="21" customHeight="1">
      <c r="A61" s="73" t="s">
        <v>81</v>
      </c>
      <c r="B61" s="344" t="s">
        <v>82</v>
      </c>
      <c r="C61" s="608" t="s">
        <v>83</v>
      </c>
      <c r="D61" s="650">
        <v>195000</v>
      </c>
      <c r="E61" s="61">
        <f t="shared" si="10"/>
        <v>16250</v>
      </c>
      <c r="F61" s="436">
        <f>E61/F12</f>
        <v>0.48373172982466583</v>
      </c>
      <c r="G61" s="287">
        <f>D61*55.72%</f>
        <v>108654</v>
      </c>
      <c r="H61" s="416">
        <f t="shared" si="11"/>
        <v>0.48373482067967027</v>
      </c>
      <c r="I61" s="364">
        <f>D61-G61</f>
        <v>86346</v>
      </c>
      <c r="J61" s="544">
        <f t="shared" si="13"/>
        <v>0.48372784048510603</v>
      </c>
      <c r="K61" s="558"/>
      <c r="L61" s="422" t="s">
        <v>274</v>
      </c>
    </row>
    <row r="62" spans="1:15" ht="21" customHeight="1" thickBot="1">
      <c r="A62" s="73"/>
      <c r="B62" s="193" t="s">
        <v>315</v>
      </c>
      <c r="C62" s="617"/>
      <c r="D62" s="105">
        <f>(33200+41165+10920+14368+34495)*1.302</f>
        <v>174660.696</v>
      </c>
      <c r="E62" s="109">
        <f>D62/12</f>
        <v>14555.057999999999</v>
      </c>
      <c r="F62" s="437">
        <f>E62/F12</f>
        <v>0.43327651594082095</v>
      </c>
      <c r="G62" s="428">
        <f>D62*55.72%</f>
        <v>97320.939811200005</v>
      </c>
      <c r="H62" s="418">
        <f t="shared" si="11"/>
        <v>0.43327928440690461</v>
      </c>
      <c r="I62" s="358">
        <f>D62-G62</f>
        <v>77339.756188799991</v>
      </c>
      <c r="J62" s="384">
        <f t="shared" si="13"/>
        <v>0.43327303227541325</v>
      </c>
      <c r="K62" s="553"/>
      <c r="L62" s="466" t="s">
        <v>331</v>
      </c>
    </row>
    <row r="63" spans="1:15" ht="23.25" customHeight="1" thickBot="1">
      <c r="A63" s="335" t="s">
        <v>84</v>
      </c>
      <c r="B63" s="408" t="s">
        <v>85</v>
      </c>
      <c r="C63" s="618"/>
      <c r="D63" s="409">
        <f>SUM(D64:D76)</f>
        <v>3980566</v>
      </c>
      <c r="E63" s="438">
        <f>SUM(E64:E76)</f>
        <v>331713.83333333337</v>
      </c>
      <c r="F63" s="485">
        <f>SUM(F65:F76)</f>
        <v>9.874492701852569</v>
      </c>
      <c r="G63" s="409">
        <f>SUM(G64:G76)</f>
        <v>2306789.7008000002</v>
      </c>
      <c r="H63" s="410">
        <f>H64+H67+H69+H71+H72+H73+H74+H75+H76</f>
        <v>10.269980877484475</v>
      </c>
      <c r="I63" s="411">
        <f>SUM(I64:I76)</f>
        <v>1673776.2992</v>
      </c>
      <c r="J63" s="392">
        <f>J67+J69+J71+J72+J73+J74+J75+J76</f>
        <v>9.3768349971876965</v>
      </c>
      <c r="K63" s="562"/>
      <c r="L63" s="332"/>
    </row>
    <row r="64" spans="1:15" ht="22.5" customHeight="1" thickBot="1">
      <c r="A64" s="394"/>
      <c r="B64" s="505" t="s">
        <v>215</v>
      </c>
      <c r="C64" s="619"/>
      <c r="D64" s="347"/>
      <c r="E64" s="224"/>
      <c r="F64" s="483"/>
      <c r="G64" s="481"/>
      <c r="H64" s="433"/>
      <c r="I64" s="481"/>
      <c r="J64" s="393"/>
      <c r="K64" s="563"/>
      <c r="L64" s="463"/>
    </row>
    <row r="65" spans="1:12" ht="21" customHeight="1" thickBot="1">
      <c r="A65" s="92" t="s">
        <v>222</v>
      </c>
      <c r="B65" s="510" t="s">
        <v>270</v>
      </c>
      <c r="C65" s="620"/>
      <c r="D65" s="109"/>
      <c r="E65" s="480" t="s">
        <v>271</v>
      </c>
      <c r="F65" s="482"/>
      <c r="G65" s="396"/>
      <c r="H65" s="432"/>
      <c r="I65" s="396"/>
      <c r="J65" s="484"/>
      <c r="K65" s="564" t="s">
        <v>272</v>
      </c>
      <c r="L65" s="464" t="s">
        <v>274</v>
      </c>
    </row>
    <row r="66" spans="1:12" ht="22.5" customHeight="1">
      <c r="A66" s="43"/>
      <c r="B66" s="511" t="s">
        <v>53</v>
      </c>
      <c r="C66" s="621"/>
      <c r="D66" s="46"/>
      <c r="E66" s="47"/>
      <c r="F66" s="446"/>
      <c r="G66" s="442"/>
      <c r="H66" s="397"/>
      <c r="I66" s="451"/>
      <c r="J66" s="457"/>
      <c r="K66" s="565"/>
      <c r="L66" s="463"/>
    </row>
    <row r="67" spans="1:12" ht="22.5" customHeight="1" thickBot="1">
      <c r="A67" s="92"/>
      <c r="B67" s="512" t="s">
        <v>263</v>
      </c>
      <c r="C67" s="620"/>
      <c r="D67" s="109">
        <v>50002</v>
      </c>
      <c r="E67" s="440">
        <f t="shared" ref="E67:E73" si="16">D67/12</f>
        <v>4166.833333333333</v>
      </c>
      <c r="F67" s="447">
        <f>E67/F12</f>
        <v>0.12403873822919456</v>
      </c>
      <c r="G67" s="443"/>
      <c r="H67" s="399">
        <f t="shared" ref="H67:H96" si="17">G67/G$12/12</f>
        <v>0</v>
      </c>
      <c r="I67" s="452">
        <f>D67</f>
        <v>50002</v>
      </c>
      <c r="J67" s="458">
        <f t="shared" ref="J67:J96" si="18">I67/H$12/12</f>
        <v>0.28012136613087196</v>
      </c>
      <c r="K67" s="566"/>
      <c r="L67" s="19" t="s">
        <v>331</v>
      </c>
    </row>
    <row r="68" spans="1:12" ht="22.5" customHeight="1">
      <c r="A68" s="43"/>
      <c r="B68" s="511" t="s">
        <v>219</v>
      </c>
      <c r="C68" s="621"/>
      <c r="D68" s="46"/>
      <c r="E68" s="47"/>
      <c r="F68" s="448"/>
      <c r="G68" s="442"/>
      <c r="H68" s="398"/>
      <c r="I68" s="451"/>
      <c r="J68" s="459"/>
      <c r="K68" s="565"/>
      <c r="L68" s="465"/>
    </row>
    <row r="69" spans="1:12" s="10" customFormat="1" ht="22.5" customHeight="1" thickBot="1">
      <c r="A69" s="400" t="s">
        <v>88</v>
      </c>
      <c r="B69" s="513" t="s">
        <v>220</v>
      </c>
      <c r="C69" s="622"/>
      <c r="D69" s="218">
        <v>602000</v>
      </c>
      <c r="E69" s="356">
        <f t="shared" si="16"/>
        <v>50166.666666666664</v>
      </c>
      <c r="F69" s="449">
        <f>E69/F12</f>
        <v>1.4933666736125581</v>
      </c>
      <c r="G69" s="444">
        <v>100000</v>
      </c>
      <c r="H69" s="401">
        <f t="shared" si="17"/>
        <v>0.44520663820905831</v>
      </c>
      <c r="I69" s="453">
        <v>502000</v>
      </c>
      <c r="J69" s="460">
        <f t="shared" si="18"/>
        <v>2.8123060237130062</v>
      </c>
      <c r="K69" s="567" t="s">
        <v>86</v>
      </c>
      <c r="L69" s="466" t="s">
        <v>331</v>
      </c>
    </row>
    <row r="70" spans="1:12" ht="22.5" customHeight="1">
      <c r="A70" s="394"/>
      <c r="B70" s="505" t="s">
        <v>259</v>
      </c>
      <c r="C70" s="619"/>
      <c r="D70" s="347"/>
      <c r="E70" s="441"/>
      <c r="F70" s="446"/>
      <c r="G70" s="431"/>
      <c r="H70" s="402">
        <f>SUM(H71:H76)</f>
        <v>9.8247742392754169</v>
      </c>
      <c r="I70" s="454"/>
      <c r="J70" s="461">
        <f>SUM(J71:J76)</f>
        <v>6.2844076073438169</v>
      </c>
      <c r="K70" s="568"/>
      <c r="L70" s="463"/>
    </row>
    <row r="71" spans="1:12" ht="37.5" customHeight="1">
      <c r="A71" s="51" t="s">
        <v>89</v>
      </c>
      <c r="B71" s="506" t="s">
        <v>337</v>
      </c>
      <c r="C71" s="623"/>
      <c r="D71" s="439">
        <f>25000*4+25*1500*4+3*80000+15000</f>
        <v>505000</v>
      </c>
      <c r="E71" s="336">
        <f t="shared" si="16"/>
        <v>42083.333333333336</v>
      </c>
      <c r="F71" s="450">
        <f>E71/F12</f>
        <v>1.2527411464690066</v>
      </c>
      <c r="G71" s="349">
        <f>25000*4+25*1500*4+3*80000+15000</f>
        <v>505000</v>
      </c>
      <c r="H71" s="381">
        <f t="shared" si="17"/>
        <v>2.2482935229557444</v>
      </c>
      <c r="I71" s="256"/>
      <c r="J71" s="462">
        <f t="shared" si="18"/>
        <v>0</v>
      </c>
      <c r="K71" s="569" t="s">
        <v>235</v>
      </c>
      <c r="L71" s="466" t="s">
        <v>331</v>
      </c>
    </row>
    <row r="72" spans="1:12" ht="34.5" customHeight="1">
      <c r="A72" s="51" t="s">
        <v>90</v>
      </c>
      <c r="B72" s="506" t="s">
        <v>336</v>
      </c>
      <c r="C72" s="623"/>
      <c r="D72" s="61">
        <f>286000</f>
        <v>286000</v>
      </c>
      <c r="E72" s="336">
        <f t="shared" si="16"/>
        <v>23833.333333333332</v>
      </c>
      <c r="F72" s="450">
        <f>E72/F12</f>
        <v>0.70947320374284317</v>
      </c>
      <c r="G72" s="349">
        <f>D72-I72</f>
        <v>214000</v>
      </c>
      <c r="H72" s="382">
        <f t="shared" si="17"/>
        <v>0.95274220576738478</v>
      </c>
      <c r="I72" s="256">
        <v>72000</v>
      </c>
      <c r="J72" s="462">
        <f t="shared" si="18"/>
        <v>0.40335863288314028</v>
      </c>
      <c r="K72" s="569" t="s">
        <v>234</v>
      </c>
      <c r="L72" s="466" t="s">
        <v>331</v>
      </c>
    </row>
    <row r="73" spans="1:12" ht="32.25" customHeight="1">
      <c r="A73" s="51" t="s">
        <v>91</v>
      </c>
      <c r="B73" s="506" t="s">
        <v>316</v>
      </c>
      <c r="C73" s="623"/>
      <c r="D73" s="61">
        <v>166800</v>
      </c>
      <c r="E73" s="336">
        <f t="shared" si="16"/>
        <v>13900</v>
      </c>
      <c r="F73" s="450">
        <f>E73/F12</f>
        <v>0.41377667966540649</v>
      </c>
      <c r="G73" s="349">
        <f>D73</f>
        <v>166800</v>
      </c>
      <c r="H73" s="382">
        <f t="shared" si="17"/>
        <v>0.74260467253270923</v>
      </c>
      <c r="I73" s="455"/>
      <c r="J73" s="462">
        <f t="shared" si="18"/>
        <v>0</v>
      </c>
      <c r="K73" s="570" t="s">
        <v>229</v>
      </c>
      <c r="L73" s="466" t="s">
        <v>331</v>
      </c>
    </row>
    <row r="74" spans="1:12" ht="54.75" customHeight="1">
      <c r="A74" s="51" t="s">
        <v>240</v>
      </c>
      <c r="B74" s="507" t="s">
        <v>328</v>
      </c>
      <c r="C74" s="623" t="s">
        <v>80</v>
      </c>
      <c r="D74" s="61">
        <f>410000+31200</f>
        <v>441200</v>
      </c>
      <c r="E74" s="336">
        <f t="shared" ref="E74:E75" si="19">D74/12</f>
        <v>36766.666666666664</v>
      </c>
      <c r="F74" s="450">
        <f>E74/F12</f>
        <v>1.0944740471725261</v>
      </c>
      <c r="G74" s="349">
        <f>D74*55.72%</f>
        <v>245836.64</v>
      </c>
      <c r="H74" s="382">
        <f t="shared" si="17"/>
        <v>1.0944810404301053</v>
      </c>
      <c r="I74" s="455">
        <f t="shared" ref="I74" si="20">D74-G74</f>
        <v>195363.36</v>
      </c>
      <c r="J74" s="462">
        <f t="shared" si="18"/>
        <v>1.0944652472924552</v>
      </c>
      <c r="K74" s="570"/>
      <c r="L74" s="466" t="s">
        <v>331</v>
      </c>
    </row>
    <row r="75" spans="1:12" ht="27" customHeight="1">
      <c r="A75" s="51" t="s">
        <v>241</v>
      </c>
      <c r="B75" s="508" t="s">
        <v>217</v>
      </c>
      <c r="C75" s="610" t="s">
        <v>92</v>
      </c>
      <c r="D75" s="61">
        <f>(29000+24000+26000+35000)*12*1.302</f>
        <v>1781136</v>
      </c>
      <c r="E75" s="336">
        <f t="shared" si="19"/>
        <v>148428</v>
      </c>
      <c r="F75" s="450">
        <f>E75/F12</f>
        <v>4.4184205042717233</v>
      </c>
      <c r="G75" s="350">
        <f>D75*55.72%</f>
        <v>992448.97920000006</v>
      </c>
      <c r="H75" s="382">
        <f t="shared" si="17"/>
        <v>4.4184487362364369</v>
      </c>
      <c r="I75" s="287">
        <f>D75-G75</f>
        <v>788687.02079999994</v>
      </c>
      <c r="J75" s="462">
        <f t="shared" si="18"/>
        <v>4.4183849789245118</v>
      </c>
      <c r="K75" s="570" t="s">
        <v>218</v>
      </c>
      <c r="L75" s="270" t="s">
        <v>274</v>
      </c>
    </row>
    <row r="76" spans="1:12" ht="27" customHeight="1" thickBot="1">
      <c r="A76" s="92"/>
      <c r="B76" s="509" t="s">
        <v>277</v>
      </c>
      <c r="C76" s="622"/>
      <c r="D76" s="109">
        <f>(29000+24000+26000+35000)*1.302</f>
        <v>148428</v>
      </c>
      <c r="E76" s="440">
        <f t="shared" ref="E76" si="21">D76/12</f>
        <v>12369</v>
      </c>
      <c r="F76" s="447">
        <f>E76/F12</f>
        <v>0.36820170868931029</v>
      </c>
      <c r="G76" s="445">
        <f>D76*55.72%</f>
        <v>82704.081600000005</v>
      </c>
      <c r="H76" s="399">
        <f t="shared" si="17"/>
        <v>0.3682040613530364</v>
      </c>
      <c r="I76" s="456">
        <f>D76-G76</f>
        <v>65723.918399999995</v>
      </c>
      <c r="J76" s="458">
        <f t="shared" si="18"/>
        <v>0.3681987482437093</v>
      </c>
      <c r="K76" s="566"/>
      <c r="L76" s="466" t="s">
        <v>331</v>
      </c>
    </row>
    <row r="77" spans="1:12" ht="46.5" customHeight="1" thickBot="1">
      <c r="A77" s="385">
        <v>2</v>
      </c>
      <c r="B77" s="386" t="s">
        <v>93</v>
      </c>
      <c r="C77" s="624"/>
      <c r="D77" s="387">
        <f>SUM(D79:D96)</f>
        <v>5277841.3000000007</v>
      </c>
      <c r="E77" s="387">
        <f>SUM(E79:E96)</f>
        <v>439820.10833333328</v>
      </c>
      <c r="F77" s="388">
        <f>SUM(F79:F96)</f>
        <v>13.092611804046475</v>
      </c>
      <c r="G77" s="387">
        <f>SUM(G79:G96)</f>
        <v>2940813.1723599997</v>
      </c>
      <c r="H77" s="389">
        <f>H79+H81+H82+H83+H85+H86+H87+H88+H89+H90+H92+H93+H94+H95+H96+H91</f>
        <v>13.09269546067312</v>
      </c>
      <c r="I77" s="390">
        <f>SUM(I79:I96)</f>
        <v>2337028.1276399996</v>
      </c>
      <c r="J77" s="391">
        <f>J79+J81+J82+J83+J85+J86+J87+J88+J89+J90+J92+J93+J94+J95+J96+J91</f>
        <v>13.092506535754382</v>
      </c>
      <c r="K77" s="571"/>
      <c r="L77" s="583"/>
    </row>
    <row r="78" spans="1:12" ht="17.25" customHeight="1">
      <c r="A78" s="394"/>
      <c r="B78" s="403" t="s">
        <v>94</v>
      </c>
      <c r="C78" s="625"/>
      <c r="D78" s="477"/>
      <c r="E78" s="441"/>
      <c r="F78" s="473" t="e">
        <f>E78/#REF!</f>
        <v>#REF!</v>
      </c>
      <c r="G78" s="471"/>
      <c r="H78" s="395"/>
      <c r="I78" s="468"/>
      <c r="J78" s="469"/>
      <c r="K78" s="568"/>
      <c r="L78" s="463"/>
    </row>
    <row r="79" spans="1:12" ht="16.5" customHeight="1" thickBot="1">
      <c r="A79" s="85" t="s">
        <v>242</v>
      </c>
      <c r="B79" s="232" t="s">
        <v>95</v>
      </c>
      <c r="C79" s="626" t="s">
        <v>96</v>
      </c>
      <c r="D79" s="122">
        <f>16000+9700+10000</f>
        <v>35700</v>
      </c>
      <c r="E79" s="356">
        <f t="shared" si="10"/>
        <v>2975</v>
      </c>
      <c r="F79" s="449">
        <f>E79/F12</f>
        <v>8.8560116690977284E-2</v>
      </c>
      <c r="G79" s="358">
        <f>D79*55.72%</f>
        <v>19892.04</v>
      </c>
      <c r="H79" s="404">
        <f t="shared" si="17"/>
        <v>8.8560682555201165E-2</v>
      </c>
      <c r="I79" s="428">
        <f>D79-G79</f>
        <v>15807.96</v>
      </c>
      <c r="J79" s="470">
        <f t="shared" si="18"/>
        <v>8.8559404642657866E-2</v>
      </c>
      <c r="K79" s="572"/>
      <c r="L79" s="467" t="s">
        <v>274</v>
      </c>
    </row>
    <row r="80" spans="1:12" ht="17.25" customHeight="1">
      <c r="A80" s="394"/>
      <c r="B80" s="501" t="s">
        <v>98</v>
      </c>
      <c r="C80" s="627"/>
      <c r="D80" s="478"/>
      <c r="E80" s="441"/>
      <c r="F80" s="446"/>
      <c r="G80" s="471">
        <f t="shared" ref="G80:G96" si="22">D80*55.72%</f>
        <v>0</v>
      </c>
      <c r="H80" s="395"/>
      <c r="I80" s="468"/>
      <c r="J80" s="469"/>
      <c r="K80" s="568"/>
      <c r="L80" s="463"/>
    </row>
    <row r="81" spans="1:12" ht="19.5" customHeight="1">
      <c r="A81" s="51" t="s">
        <v>97</v>
      </c>
      <c r="B81" s="499" t="s">
        <v>99</v>
      </c>
      <c r="C81" s="589" t="s">
        <v>100</v>
      </c>
      <c r="D81" s="61">
        <f>(60000*2+24000+13550)*12+75000*12</f>
        <v>2790600</v>
      </c>
      <c r="E81" s="336">
        <f t="shared" si="10"/>
        <v>232550</v>
      </c>
      <c r="F81" s="450">
        <f>E81/F12</f>
        <v>6.9225731551216025</v>
      </c>
      <c r="G81" s="350">
        <f t="shared" si="22"/>
        <v>1554922.32</v>
      </c>
      <c r="H81" s="382">
        <f t="shared" si="17"/>
        <v>6.9226173876342969</v>
      </c>
      <c r="I81" s="287">
        <f>D81-G81</f>
        <v>1235677.68</v>
      </c>
      <c r="J81" s="462">
        <f t="shared" si="18"/>
        <v>6.9225174956807018</v>
      </c>
      <c r="K81" s="570"/>
      <c r="L81" s="270" t="s">
        <v>274</v>
      </c>
    </row>
    <row r="82" spans="1:12" ht="21" customHeight="1">
      <c r="A82" s="51" t="s">
        <v>102</v>
      </c>
      <c r="B82" s="499" t="s">
        <v>101</v>
      </c>
      <c r="C82" s="589"/>
      <c r="D82" s="61">
        <f>D81*0.302</f>
        <v>842761.2</v>
      </c>
      <c r="E82" s="336">
        <f>D82/12</f>
        <v>70230.099999999991</v>
      </c>
      <c r="F82" s="450">
        <f>E82/F12</f>
        <v>2.0906170928467236</v>
      </c>
      <c r="G82" s="350">
        <f t="shared" si="22"/>
        <v>469586.54064000002</v>
      </c>
      <c r="H82" s="382">
        <f t="shared" si="17"/>
        <v>2.0906304510655578</v>
      </c>
      <c r="I82" s="287">
        <f>D82-G82</f>
        <v>373174.65935999993</v>
      </c>
      <c r="J82" s="462">
        <f t="shared" si="18"/>
        <v>2.0906002836955717</v>
      </c>
      <c r="K82" s="570"/>
      <c r="L82" s="270" t="s">
        <v>274</v>
      </c>
    </row>
    <row r="83" spans="1:12" ht="21" customHeight="1" thickBot="1">
      <c r="A83" s="85" t="s">
        <v>276</v>
      </c>
      <c r="B83" s="504" t="s">
        <v>302</v>
      </c>
      <c r="C83" s="628"/>
      <c r="D83" s="218">
        <f>(60000*2+24000+13550+75000)*1.302</f>
        <v>302780.10000000003</v>
      </c>
      <c r="E83" s="356">
        <f t="shared" ref="E83" si="23">D83/12</f>
        <v>25231.675000000003</v>
      </c>
      <c r="F83" s="449">
        <f>E83/F12</f>
        <v>0.75109918733069403</v>
      </c>
      <c r="G83" s="358">
        <f t="shared" si="22"/>
        <v>168709.07172000004</v>
      </c>
      <c r="H83" s="404">
        <f t="shared" si="17"/>
        <v>0.75110398655832133</v>
      </c>
      <c r="I83" s="428">
        <f t="shared" ref="I83" si="24">D83-G83</f>
        <v>134071.02828</v>
      </c>
      <c r="J83" s="470">
        <f t="shared" si="18"/>
        <v>0.75109314828135609</v>
      </c>
      <c r="K83" s="572"/>
      <c r="L83" s="466" t="s">
        <v>331</v>
      </c>
    </row>
    <row r="84" spans="1:12" ht="15.75" customHeight="1">
      <c r="A84" s="394"/>
      <c r="B84" s="501" t="s">
        <v>103</v>
      </c>
      <c r="C84" s="627"/>
      <c r="D84" s="478"/>
      <c r="E84" s="441"/>
      <c r="F84" s="446"/>
      <c r="G84" s="471">
        <f t="shared" si="22"/>
        <v>0</v>
      </c>
      <c r="H84" s="395"/>
      <c r="I84" s="468"/>
      <c r="J84" s="469"/>
      <c r="K84" s="568"/>
      <c r="L84" s="463"/>
    </row>
    <row r="85" spans="1:12" s="115" customFormat="1" ht="21" customHeight="1">
      <c r="A85" s="56" t="s">
        <v>243</v>
      </c>
      <c r="B85" s="502" t="s">
        <v>267</v>
      </c>
      <c r="C85" s="610" t="s">
        <v>104</v>
      </c>
      <c r="D85" s="61">
        <v>70000</v>
      </c>
      <c r="E85" s="336">
        <f t="shared" si="10"/>
        <v>5833.333333333333</v>
      </c>
      <c r="F85" s="450">
        <f>E85/F12</f>
        <v>0.17364728762936721</v>
      </c>
      <c r="G85" s="350">
        <f t="shared" si="22"/>
        <v>39004</v>
      </c>
      <c r="H85" s="382">
        <f t="shared" si="17"/>
        <v>0.17364839716706112</v>
      </c>
      <c r="I85" s="455">
        <f t="shared" ref="I85:I96" si="25">D85-G85</f>
        <v>30996</v>
      </c>
      <c r="J85" s="462">
        <f t="shared" si="18"/>
        <v>0.17364589145619191</v>
      </c>
      <c r="K85" s="573"/>
      <c r="L85" s="270" t="s">
        <v>274</v>
      </c>
    </row>
    <row r="86" spans="1:12" ht="24" customHeight="1">
      <c r="A86" s="51" t="s">
        <v>244</v>
      </c>
      <c r="B86" s="499" t="s">
        <v>105</v>
      </c>
      <c r="C86" s="589" t="s">
        <v>106</v>
      </c>
      <c r="D86" s="54">
        <v>70000</v>
      </c>
      <c r="E86" s="336">
        <f t="shared" si="10"/>
        <v>5833.333333333333</v>
      </c>
      <c r="F86" s="450">
        <f>E86/F12</f>
        <v>0.17364728762936721</v>
      </c>
      <c r="G86" s="350">
        <f t="shared" si="22"/>
        <v>39004</v>
      </c>
      <c r="H86" s="382">
        <f t="shared" si="17"/>
        <v>0.17364839716706112</v>
      </c>
      <c r="I86" s="287">
        <f t="shared" si="25"/>
        <v>30996</v>
      </c>
      <c r="J86" s="462">
        <f t="shared" si="18"/>
        <v>0.17364589145619191</v>
      </c>
      <c r="K86" s="570"/>
      <c r="L86" s="270" t="s">
        <v>274</v>
      </c>
    </row>
    <row r="87" spans="1:12" ht="19.5" customHeight="1">
      <c r="A87" s="51" t="s">
        <v>245</v>
      </c>
      <c r="B87" s="499" t="s">
        <v>107</v>
      </c>
      <c r="C87" s="589" t="s">
        <v>108</v>
      </c>
      <c r="D87" s="61">
        <v>90000</v>
      </c>
      <c r="E87" s="336">
        <f t="shared" si="10"/>
        <v>7500</v>
      </c>
      <c r="F87" s="450">
        <f>E87/F12</f>
        <v>0.22326079838061502</v>
      </c>
      <c r="G87" s="350">
        <f t="shared" si="22"/>
        <v>50148</v>
      </c>
      <c r="H87" s="382">
        <f t="shared" si="17"/>
        <v>0.22326222492907857</v>
      </c>
      <c r="I87" s="287">
        <f t="shared" si="25"/>
        <v>39852</v>
      </c>
      <c r="J87" s="462">
        <f t="shared" si="18"/>
        <v>0.22325900330081816</v>
      </c>
      <c r="K87" s="570"/>
      <c r="L87" s="270" t="s">
        <v>274</v>
      </c>
    </row>
    <row r="88" spans="1:12" ht="16.5" customHeight="1">
      <c r="A88" s="51" t="s">
        <v>246</v>
      </c>
      <c r="B88" s="499" t="s">
        <v>109</v>
      </c>
      <c r="C88" s="589" t="s">
        <v>110</v>
      </c>
      <c r="D88" s="54">
        <v>30000</v>
      </c>
      <c r="E88" s="336">
        <f t="shared" si="10"/>
        <v>2500</v>
      </c>
      <c r="F88" s="450">
        <f>E88/F12</f>
        <v>7.4420266126871665E-2</v>
      </c>
      <c r="G88" s="350">
        <f t="shared" si="22"/>
        <v>16716</v>
      </c>
      <c r="H88" s="382">
        <f t="shared" si="17"/>
        <v>7.4420741643026186E-2</v>
      </c>
      <c r="I88" s="287">
        <f t="shared" si="25"/>
        <v>13284</v>
      </c>
      <c r="J88" s="462">
        <f t="shared" si="18"/>
        <v>7.4419667766939382E-2</v>
      </c>
      <c r="K88" s="570"/>
      <c r="L88" s="270" t="s">
        <v>274</v>
      </c>
    </row>
    <row r="89" spans="1:12" ht="35.25" customHeight="1">
      <c r="A89" s="51" t="s">
        <v>247</v>
      </c>
      <c r="B89" s="499" t="s">
        <v>329</v>
      </c>
      <c r="C89" s="589" t="s">
        <v>111</v>
      </c>
      <c r="D89" s="54">
        <f>52000+6000+(15000+56000)+25000</f>
        <v>154000</v>
      </c>
      <c r="E89" s="336">
        <f>D89/12</f>
        <v>12833.333333333334</v>
      </c>
      <c r="F89" s="450">
        <f>E89/F12</f>
        <v>0.38202403278460795</v>
      </c>
      <c r="G89" s="350">
        <f t="shared" si="22"/>
        <v>85808.8</v>
      </c>
      <c r="H89" s="382">
        <f t="shared" si="17"/>
        <v>0.38202647376753446</v>
      </c>
      <c r="I89" s="287">
        <f t="shared" si="25"/>
        <v>68191.199999999997</v>
      </c>
      <c r="J89" s="462">
        <f t="shared" si="18"/>
        <v>0.38202096120362222</v>
      </c>
      <c r="K89" s="570"/>
      <c r="L89" s="466" t="s">
        <v>331</v>
      </c>
    </row>
    <row r="90" spans="1:12" ht="21.75" customHeight="1">
      <c r="A90" s="51" t="s">
        <v>248</v>
      </c>
      <c r="B90" s="499" t="s">
        <v>320</v>
      </c>
      <c r="C90" s="589"/>
      <c r="D90" s="54">
        <v>60000</v>
      </c>
      <c r="E90" s="336">
        <f t="shared" ref="E90:E91" si="26">D90/12</f>
        <v>5000</v>
      </c>
      <c r="F90" s="450">
        <f>E90/F12</f>
        <v>0.14884053225374333</v>
      </c>
      <c r="G90" s="350">
        <f t="shared" si="22"/>
        <v>33432</v>
      </c>
      <c r="H90" s="382">
        <f t="shared" si="17"/>
        <v>0.14884148328605237</v>
      </c>
      <c r="I90" s="287">
        <f t="shared" ref="I90:I91" si="27">D90-G90</f>
        <v>26568</v>
      </c>
      <c r="J90" s="462">
        <f t="shared" si="18"/>
        <v>0.14883933553387876</v>
      </c>
      <c r="K90" s="570"/>
      <c r="L90" s="270" t="s">
        <v>274</v>
      </c>
    </row>
    <row r="91" spans="1:12" ht="21.75" customHeight="1">
      <c r="A91" s="51"/>
      <c r="B91" s="499" t="s">
        <v>330</v>
      </c>
      <c r="C91" s="589"/>
      <c r="D91" s="54">
        <v>47000</v>
      </c>
      <c r="E91" s="336">
        <f t="shared" si="26"/>
        <v>3916.6666666666665</v>
      </c>
      <c r="F91" s="450">
        <f>E91/F12</f>
        <v>0.11659175026543228</v>
      </c>
      <c r="G91" s="350">
        <f t="shared" si="22"/>
        <v>26188.400000000001</v>
      </c>
      <c r="H91" s="382">
        <f t="shared" si="17"/>
        <v>0.11659249524074104</v>
      </c>
      <c r="I91" s="287">
        <f t="shared" si="27"/>
        <v>20811.599999999999</v>
      </c>
      <c r="J91" s="462">
        <f t="shared" si="18"/>
        <v>0.1165908128348717</v>
      </c>
      <c r="K91" s="570"/>
      <c r="L91" s="270" t="s">
        <v>274</v>
      </c>
    </row>
    <row r="92" spans="1:12" ht="20.25" customHeight="1">
      <c r="A92" s="51" t="s">
        <v>249</v>
      </c>
      <c r="B92" s="499" t="s">
        <v>112</v>
      </c>
      <c r="C92" s="589"/>
      <c r="D92" s="54">
        <f>20000</f>
        <v>20000</v>
      </c>
      <c r="E92" s="336">
        <f t="shared" si="10"/>
        <v>1666.6666666666667</v>
      </c>
      <c r="F92" s="450">
        <f>E92/F12</f>
        <v>4.9613510751247779E-2</v>
      </c>
      <c r="G92" s="350">
        <f t="shared" si="22"/>
        <v>11144</v>
      </c>
      <c r="H92" s="382">
        <f t="shared" si="17"/>
        <v>4.9613827762017455E-2</v>
      </c>
      <c r="I92" s="287">
        <f t="shared" si="25"/>
        <v>8856</v>
      </c>
      <c r="J92" s="462">
        <f t="shared" si="18"/>
        <v>4.9613111844626266E-2</v>
      </c>
      <c r="K92" s="570"/>
      <c r="L92" s="270" t="s">
        <v>274</v>
      </c>
    </row>
    <row r="93" spans="1:12" ht="18" customHeight="1">
      <c r="A93" s="51" t="s">
        <v>250</v>
      </c>
      <c r="B93" s="499" t="s">
        <v>113</v>
      </c>
      <c r="C93" s="605" t="s">
        <v>344</v>
      </c>
      <c r="D93" s="54">
        <v>40000</v>
      </c>
      <c r="E93" s="336">
        <f t="shared" si="10"/>
        <v>3333.3333333333335</v>
      </c>
      <c r="F93" s="450">
        <f>E93/F12</f>
        <v>9.9227021502495558E-2</v>
      </c>
      <c r="G93" s="350">
        <f t="shared" si="22"/>
        <v>22288</v>
      </c>
      <c r="H93" s="382">
        <f t="shared" si="17"/>
        <v>9.9227655524034911E-2</v>
      </c>
      <c r="I93" s="287">
        <f t="shared" si="25"/>
        <v>17712</v>
      </c>
      <c r="J93" s="462">
        <f t="shared" si="18"/>
        <v>9.9226223689252532E-2</v>
      </c>
      <c r="K93" s="570"/>
      <c r="L93" s="270" t="s">
        <v>274</v>
      </c>
    </row>
    <row r="94" spans="1:12" ht="18.75" customHeight="1">
      <c r="A94" s="51" t="s">
        <v>251</v>
      </c>
      <c r="B94" s="499" t="s">
        <v>115</v>
      </c>
      <c r="C94" s="605" t="s">
        <v>116</v>
      </c>
      <c r="D94" s="54">
        <v>45000</v>
      </c>
      <c r="E94" s="336">
        <f t="shared" si="10"/>
        <v>3750</v>
      </c>
      <c r="F94" s="450">
        <f>E94/F12</f>
        <v>0.11163039919030751</v>
      </c>
      <c r="G94" s="350">
        <f t="shared" si="22"/>
        <v>25074</v>
      </c>
      <c r="H94" s="382">
        <f t="shared" si="17"/>
        <v>0.11163111246453929</v>
      </c>
      <c r="I94" s="287">
        <f t="shared" si="25"/>
        <v>19926</v>
      </c>
      <c r="J94" s="462">
        <f t="shared" si="18"/>
        <v>0.11162950165040908</v>
      </c>
      <c r="K94" s="570"/>
      <c r="L94" s="270" t="s">
        <v>274</v>
      </c>
    </row>
    <row r="95" spans="1:12" ht="18" customHeight="1">
      <c r="A95" s="51" t="s">
        <v>252</v>
      </c>
      <c r="B95" s="499" t="s">
        <v>260</v>
      </c>
      <c r="C95" s="605" t="s">
        <v>117</v>
      </c>
      <c r="D95" s="54">
        <v>140000</v>
      </c>
      <c r="E95" s="336">
        <f t="shared" si="10"/>
        <v>11666.666666666666</v>
      </c>
      <c r="F95" s="450">
        <f>E95/F12</f>
        <v>0.34729457525873442</v>
      </c>
      <c r="G95" s="350">
        <f t="shared" si="22"/>
        <v>78008</v>
      </c>
      <c r="H95" s="382">
        <f t="shared" si="17"/>
        <v>0.34729679433412225</v>
      </c>
      <c r="I95" s="287">
        <f t="shared" si="25"/>
        <v>61992</v>
      </c>
      <c r="J95" s="462">
        <f t="shared" si="18"/>
        <v>0.34729178291238383</v>
      </c>
      <c r="K95" s="570"/>
      <c r="L95" s="466" t="s">
        <v>331</v>
      </c>
    </row>
    <row r="96" spans="1:12" ht="21" customHeight="1" thickBot="1">
      <c r="A96" s="92" t="s">
        <v>317</v>
      </c>
      <c r="B96" s="503" t="s">
        <v>118</v>
      </c>
      <c r="C96" s="629"/>
      <c r="D96" s="109">
        <v>540000</v>
      </c>
      <c r="E96" s="440">
        <f t="shared" si="10"/>
        <v>45000</v>
      </c>
      <c r="F96" s="447">
        <f>E96/F12</f>
        <v>1.33956479028369</v>
      </c>
      <c r="G96" s="445">
        <f t="shared" si="22"/>
        <v>300888</v>
      </c>
      <c r="H96" s="399">
        <f t="shared" si="17"/>
        <v>1.3395733495744713</v>
      </c>
      <c r="I96" s="456">
        <f t="shared" si="25"/>
        <v>239112</v>
      </c>
      <c r="J96" s="458">
        <f t="shared" si="18"/>
        <v>1.3395540198049092</v>
      </c>
      <c r="K96" s="566"/>
      <c r="L96" s="464" t="s">
        <v>274</v>
      </c>
    </row>
    <row r="97" spans="1:12" ht="39.75" customHeight="1" thickBot="1">
      <c r="A97" s="405"/>
      <c r="B97" s="406" t="s">
        <v>119</v>
      </c>
      <c r="C97" s="630"/>
      <c r="D97" s="479">
        <f>D77+D63+D55+D51+D47+D44+D26</f>
        <v>18748771.343000002</v>
      </c>
      <c r="E97" s="476">
        <f>E77+E63+E55+E51+E47+E44+E26</f>
        <v>1562397.6119166669</v>
      </c>
      <c r="F97" s="474">
        <f>F77+F63+F55+F51+F47+F44+F26</f>
        <v>46.509618429930839</v>
      </c>
      <c r="G97" s="472">
        <f>G77+G63+G55+G51+G47+G44+G26</f>
        <v>9945923.6379195992</v>
      </c>
      <c r="H97" s="407"/>
      <c r="I97" s="407">
        <f>I77+I63+I55+I51+I47+I44+I26</f>
        <v>8802847.7050803993</v>
      </c>
      <c r="J97" s="475"/>
      <c r="K97" s="574"/>
      <c r="L97" s="22"/>
    </row>
    <row r="98" spans="1:12" ht="20.25" customHeight="1">
      <c r="A98" s="7"/>
      <c r="B98" s="129"/>
      <c r="C98" s="594"/>
      <c r="D98" s="130"/>
      <c r="E98" s="130"/>
      <c r="F98" s="517">
        <f>F96+F94+F92+F88+F87+F86+F85+F82+F81+F79+F75+F60+F58+F57+F56+F51+F47+F44+F61+F93+F90+F91+F59</f>
        <v>29.396130510820708</v>
      </c>
      <c r="G98" s="131"/>
      <c r="H98" s="131"/>
      <c r="I98" s="130"/>
      <c r="J98" s="130"/>
    </row>
    <row r="99" spans="1:12" ht="32.25" customHeight="1">
      <c r="A99" s="7"/>
      <c r="B99" s="129"/>
      <c r="C99" s="594"/>
      <c r="D99" s="130"/>
      <c r="E99" s="130"/>
      <c r="F99" s="130"/>
      <c r="G99" s="131"/>
      <c r="H99" s="131"/>
      <c r="I99" s="130"/>
      <c r="J99" s="130"/>
    </row>
    <row r="100" spans="1:12" ht="7.5" customHeight="1">
      <c r="C100" s="593"/>
      <c r="D100" s="9"/>
      <c r="E100" s="10"/>
      <c r="F100" s="4"/>
      <c r="G100" s="132"/>
      <c r="H100" s="132"/>
    </row>
    <row r="101" spans="1:12" ht="48" hidden="1" thickBot="1">
      <c r="A101" s="133" t="s">
        <v>120</v>
      </c>
      <c r="B101" s="134" t="s">
        <v>121</v>
      </c>
      <c r="C101" s="631"/>
      <c r="D101" s="136">
        <f>D103+D107+D113</f>
        <v>10480740.687000001</v>
      </c>
      <c r="E101" s="136">
        <f>SUM(E103:E120)</f>
        <v>0</v>
      </c>
      <c r="F101" s="136"/>
      <c r="G101" s="136">
        <f>SUM(G103:G120)</f>
        <v>10737461.792365</v>
      </c>
      <c r="H101" s="136"/>
      <c r="I101" s="136">
        <f>SUM(I103:I120)</f>
        <v>9775374.5543750003</v>
      </c>
      <c r="J101" s="365"/>
    </row>
    <row r="102" spans="1:12" ht="16.5" hidden="1" thickBot="1">
      <c r="A102" s="137"/>
      <c r="B102" s="138"/>
      <c r="C102" s="632"/>
      <c r="D102" s="140"/>
      <c r="E102" s="140"/>
      <c r="F102" s="140"/>
      <c r="G102" s="140"/>
      <c r="H102" s="140"/>
      <c r="I102" s="140"/>
      <c r="J102" s="140"/>
    </row>
    <row r="103" spans="1:12" ht="25.5" hidden="1" thickBot="1">
      <c r="A103" s="73"/>
      <c r="B103" s="141" t="s">
        <v>122</v>
      </c>
      <c r="C103" s="614" t="s">
        <v>123</v>
      </c>
      <c r="D103" s="143">
        <f>G103+I103</f>
        <v>4830199.5</v>
      </c>
      <c r="E103" s="144"/>
      <c r="F103" s="143"/>
      <c r="G103" s="145">
        <v>2685592</v>
      </c>
      <c r="H103" s="145"/>
      <c r="I103" s="145">
        <v>2144607.5</v>
      </c>
      <c r="J103" s="366"/>
    </row>
    <row r="104" spans="1:12" ht="15.75" hidden="1" thickBot="1">
      <c r="A104" s="73"/>
      <c r="B104" s="58" t="s">
        <v>124</v>
      </c>
      <c r="C104" s="614"/>
      <c r="D104" s="143">
        <v>1839000</v>
      </c>
      <c r="E104" s="144"/>
      <c r="F104" s="143"/>
      <c r="G104" s="145"/>
      <c r="H104" s="145"/>
      <c r="I104" s="145"/>
      <c r="J104" s="366"/>
    </row>
    <row r="105" spans="1:12" ht="15.75" hidden="1" thickBot="1">
      <c r="A105" s="73"/>
      <c r="B105" s="58" t="s">
        <v>125</v>
      </c>
      <c r="C105" s="614"/>
      <c r="D105" s="143">
        <v>1631000</v>
      </c>
      <c r="E105" s="144"/>
      <c r="F105" s="143"/>
      <c r="G105" s="143">
        <f>24989*1.103*33.765</f>
        <v>930660.20425499999</v>
      </c>
      <c r="H105" s="143"/>
      <c r="I105" s="143">
        <f>33.765*1.103*20902</f>
        <v>778448.90109000006</v>
      </c>
      <c r="J105" s="367"/>
    </row>
    <row r="106" spans="1:12" ht="15.75" hidden="1" thickBot="1">
      <c r="A106" s="73"/>
      <c r="B106" s="58" t="s">
        <v>126</v>
      </c>
      <c r="C106" s="633"/>
      <c r="D106" s="143">
        <f>D103-D104-D105</f>
        <v>1360199.5</v>
      </c>
      <c r="E106" s="144"/>
      <c r="F106" s="143"/>
      <c r="G106" s="143">
        <f>15338*1.103*33.765+37000</f>
        <v>608229.98970999999</v>
      </c>
      <c r="H106" s="143"/>
      <c r="I106" s="143">
        <f>12543*1.103*33.765+37000</f>
        <v>504136.37768500001</v>
      </c>
      <c r="J106" s="367"/>
    </row>
    <row r="107" spans="1:12" ht="37.5" hidden="1" thickBot="1">
      <c r="A107" s="85"/>
      <c r="B107" s="147" t="s">
        <v>127</v>
      </c>
      <c r="C107" s="634" t="s">
        <v>128</v>
      </c>
      <c r="D107" s="143">
        <f t="shared" ref="D107:D112" si="28">G107+I107</f>
        <v>4963466.7870000005</v>
      </c>
      <c r="E107" s="144"/>
      <c r="F107" s="143"/>
      <c r="G107" s="143">
        <f>560182*4.593</f>
        <v>2572915.926</v>
      </c>
      <c r="H107" s="143"/>
      <c r="I107" s="143">
        <f>520477*4.593</f>
        <v>2390550.861</v>
      </c>
      <c r="J107" s="367"/>
    </row>
    <row r="108" spans="1:12" ht="15.75" hidden="1" thickBot="1">
      <c r="A108" s="85"/>
      <c r="B108" s="149" t="s">
        <v>129</v>
      </c>
      <c r="C108" s="634"/>
      <c r="D108" s="143">
        <f t="shared" si="28"/>
        <v>4189762.1579999998</v>
      </c>
      <c r="E108" s="144"/>
      <c r="F108" s="150"/>
      <c r="G108" s="143">
        <f>434933*4.593</f>
        <v>1997647.2690000001</v>
      </c>
      <c r="H108" s="143"/>
      <c r="I108" s="143">
        <f>477273*4.593</f>
        <v>2192114.889</v>
      </c>
      <c r="J108" s="367"/>
    </row>
    <row r="109" spans="1:12" ht="15.75" hidden="1" thickBot="1">
      <c r="A109" s="85"/>
      <c r="B109" s="149" t="s">
        <v>130</v>
      </c>
      <c r="C109" s="634"/>
      <c r="D109" s="143">
        <f t="shared" si="28"/>
        <v>773704.62899999996</v>
      </c>
      <c r="E109" s="144"/>
      <c r="F109" s="151"/>
      <c r="G109" s="143">
        <f>82909*4.593</f>
        <v>380801.03700000001</v>
      </c>
      <c r="H109" s="143"/>
      <c r="I109" s="143">
        <f>85544*4.593</f>
        <v>392903.592</v>
      </c>
      <c r="J109" s="367"/>
    </row>
    <row r="110" spans="1:12" ht="16.5" hidden="1" thickBot="1">
      <c r="A110" s="85"/>
      <c r="B110" s="147" t="s">
        <v>131</v>
      </c>
      <c r="C110" s="635" t="s">
        <v>132</v>
      </c>
      <c r="D110" s="153">
        <f t="shared" si="28"/>
        <v>77019</v>
      </c>
      <c r="E110" s="144"/>
      <c r="F110" s="143"/>
      <c r="G110" s="143">
        <f>G111+G112</f>
        <v>41227</v>
      </c>
      <c r="H110" s="143"/>
      <c r="I110" s="143">
        <f>I111+I112</f>
        <v>35792</v>
      </c>
      <c r="J110" s="367"/>
    </row>
    <row r="111" spans="1:12" ht="15.75" hidden="1" thickBot="1">
      <c r="A111" s="85"/>
      <c r="B111" s="149" t="s">
        <v>133</v>
      </c>
      <c r="C111" s="240"/>
      <c r="D111" s="153">
        <f t="shared" si="28"/>
        <v>65013.287183098459</v>
      </c>
      <c r="E111" s="144"/>
      <c r="F111" s="143"/>
      <c r="G111" s="143">
        <v>34800.540005681716</v>
      </c>
      <c r="H111" s="143"/>
      <c r="I111" s="143">
        <v>30212.747177416742</v>
      </c>
      <c r="J111" s="367"/>
    </row>
    <row r="112" spans="1:12" ht="15.75" hidden="1" thickBot="1">
      <c r="A112" s="85"/>
      <c r="B112" s="149" t="s">
        <v>134</v>
      </c>
      <c r="C112" s="240"/>
      <c r="D112" s="153">
        <f t="shared" si="28"/>
        <v>12005.71281690154</v>
      </c>
      <c r="E112" s="144"/>
      <c r="F112" s="143"/>
      <c r="G112" s="143">
        <v>6426.459994318282</v>
      </c>
      <c r="H112" s="143"/>
      <c r="I112" s="143">
        <v>5579.2528225832575</v>
      </c>
      <c r="J112" s="367"/>
    </row>
    <row r="113" spans="1:10" ht="25.5" hidden="1" thickBot="1">
      <c r="A113" s="85"/>
      <c r="B113" s="147" t="s">
        <v>135</v>
      </c>
      <c r="C113" s="634" t="s">
        <v>136</v>
      </c>
      <c r="D113" s="143">
        <f>D115+D114</f>
        <v>687074.39999999991</v>
      </c>
      <c r="E113" s="144"/>
      <c r="F113" s="143"/>
      <c r="G113" s="145">
        <f>D113*0.556</f>
        <v>382013.3664</v>
      </c>
      <c r="H113" s="145"/>
      <c r="I113" s="145">
        <f>D113*0.444</f>
        <v>305061.03359999997</v>
      </c>
      <c r="J113" s="366"/>
    </row>
    <row r="114" spans="1:10" ht="15.75" hidden="1" thickBot="1">
      <c r="A114" s="85"/>
      <c r="B114" s="149" t="s">
        <v>137</v>
      </c>
      <c r="C114" s="634"/>
      <c r="D114" s="143">
        <f>G114+I114</f>
        <v>280195.19999999995</v>
      </c>
      <c r="E114" s="144"/>
      <c r="F114" s="143"/>
      <c r="G114" s="143">
        <v>109295.99999999999</v>
      </c>
      <c r="H114" s="143"/>
      <c r="I114" s="143">
        <v>170899.19999999995</v>
      </c>
      <c r="J114" s="367"/>
    </row>
    <row r="115" spans="1:10" ht="15.75" hidden="1" thickBot="1">
      <c r="A115" s="85"/>
      <c r="B115" s="149" t="s">
        <v>133</v>
      </c>
      <c r="C115" s="634"/>
      <c r="D115" s="143">
        <f>G115+I115</f>
        <v>406879.19999999995</v>
      </c>
      <c r="E115" s="144"/>
      <c r="F115" s="143"/>
      <c r="G115" s="143">
        <v>214451.99999999997</v>
      </c>
      <c r="H115" s="143"/>
      <c r="I115" s="143">
        <v>192427.2</v>
      </c>
      <c r="J115" s="367"/>
    </row>
    <row r="116" spans="1:10" ht="19.5" hidden="1" thickBot="1">
      <c r="A116" s="85"/>
      <c r="B116" s="154" t="s">
        <v>138</v>
      </c>
      <c r="C116" s="636"/>
      <c r="D116" s="156"/>
      <c r="E116" s="157"/>
      <c r="F116" s="158">
        <f>(D108+D111+D115)/F10/12</f>
        <v>12.164129924157995</v>
      </c>
      <c r="G116" s="143"/>
      <c r="H116" s="143"/>
      <c r="I116" s="143"/>
      <c r="J116" s="367"/>
    </row>
    <row r="117" spans="1:10" ht="19.5" hidden="1" thickBot="1">
      <c r="A117" s="85"/>
      <c r="B117" s="154" t="s">
        <v>139</v>
      </c>
      <c r="C117" s="636"/>
      <c r="D117" s="156"/>
      <c r="E117" s="157"/>
      <c r="F117" s="158">
        <f>(D109+D112+D114)/27881</f>
        <v>38.230534837950628</v>
      </c>
      <c r="G117" s="143"/>
      <c r="H117" s="143"/>
      <c r="I117" s="143"/>
      <c r="J117" s="367"/>
    </row>
    <row r="118" spans="1:10" ht="49.5" hidden="1" thickBot="1">
      <c r="A118" s="85"/>
      <c r="B118" s="149" t="s">
        <v>140</v>
      </c>
      <c r="C118" s="634" t="s">
        <v>141</v>
      </c>
      <c r="D118" s="143">
        <f>G118+I118</f>
        <v>1140312</v>
      </c>
      <c r="E118" s="144"/>
      <c r="F118" s="143"/>
      <c r="G118" s="143">
        <f>438000+197700</f>
        <v>635700</v>
      </c>
      <c r="H118" s="143"/>
      <c r="I118" s="143">
        <f>157872+346740</f>
        <v>504612</v>
      </c>
      <c r="J118" s="367"/>
    </row>
    <row r="119" spans="1:10" ht="15.75" hidden="1" thickBot="1">
      <c r="A119" s="159"/>
      <c r="B119" s="160" t="s">
        <v>142</v>
      </c>
      <c r="C119" s="607" t="s">
        <v>143</v>
      </c>
      <c r="D119" s="143">
        <f>G119+I119</f>
        <v>265729</v>
      </c>
      <c r="E119" s="144"/>
      <c r="F119" s="143"/>
      <c r="G119" s="143">
        <v>137700</v>
      </c>
      <c r="H119" s="143"/>
      <c r="I119" s="143">
        <v>128029</v>
      </c>
      <c r="J119" s="367"/>
    </row>
    <row r="120" spans="1:10" ht="15.75" hidden="1" thickBot="1">
      <c r="A120" s="60"/>
      <c r="B120" s="50"/>
      <c r="C120" s="637"/>
      <c r="D120" s="9">
        <f>D97+D101+D118+D119</f>
        <v>30635553.030000001</v>
      </c>
      <c r="E120" s="163"/>
      <c r="F120" s="4"/>
    </row>
    <row r="121" spans="1:10" ht="15.75" hidden="1" thickBot="1">
      <c r="B121" s="7" t="s">
        <v>144</v>
      </c>
    </row>
    <row r="122" spans="1:10" ht="15.75" hidden="1" thickBot="1">
      <c r="B122" t="s">
        <v>145</v>
      </c>
      <c r="D122" s="3">
        <f>F116*F12*12</f>
        <v>4903555.3985068742</v>
      </c>
    </row>
    <row r="123" spans="1:10" ht="15.75" hidden="1" thickBot="1">
      <c r="B123" t="s">
        <v>146</v>
      </c>
      <c r="D123" s="3">
        <f>F117*27881+1242*0.3717</f>
        <v>1066367.1932169015</v>
      </c>
    </row>
    <row r="124" spans="1:10" ht="15.75" hidden="1" thickBot="1">
      <c r="B124" s="7" t="s">
        <v>147</v>
      </c>
      <c r="D124" s="3"/>
    </row>
    <row r="125" spans="1:10" ht="15.75" hidden="1" thickBot="1">
      <c r="B125" t="s">
        <v>145</v>
      </c>
      <c r="D125" s="3">
        <f>D108+D111+D115</f>
        <v>4661654.6451830985</v>
      </c>
    </row>
    <row r="126" spans="1:10" ht="15.75" hidden="1" thickBot="1">
      <c r="B126" t="s">
        <v>146</v>
      </c>
      <c r="D126" s="3">
        <f>D109+D112+D114</f>
        <v>1065905.5418169014</v>
      </c>
    </row>
    <row r="127" spans="1:10" ht="15.75" hidden="1" thickBot="1"/>
    <row r="128" spans="1:10" ht="15.75" hidden="1" thickBot="1">
      <c r="B128" s="7" t="s">
        <v>148</v>
      </c>
      <c r="I128" s="164"/>
      <c r="J128" s="164"/>
    </row>
    <row r="129" spans="1:21" ht="15.75" hidden="1" thickBot="1">
      <c r="B129" t="s">
        <v>149</v>
      </c>
      <c r="I129" s="5">
        <f>24700*12</f>
        <v>296400</v>
      </c>
    </row>
    <row r="130" spans="1:21" ht="15.75" hidden="1" thickBot="1">
      <c r="B130" t="s">
        <v>150</v>
      </c>
      <c r="I130" s="5">
        <f>I129*0.302</f>
        <v>89512.8</v>
      </c>
      <c r="K130" s="548">
        <f>SUM(I129:I130)</f>
        <v>385912.8</v>
      </c>
    </row>
    <row r="131" spans="1:21" ht="15.75" hidden="1" thickBot="1">
      <c r="B131" t="s">
        <v>151</v>
      </c>
    </row>
    <row r="133" spans="1:21" s="651" customFormat="1">
      <c r="C133" s="548"/>
      <c r="F133" s="652">
        <f>F96+F94+F93+F92+F91+F90+F88+F87+F86+F85+F82+F81+F79+F75+F61+F60+F59+F58+F57+F56+F51+F47+F44</f>
        <v>29.396130510820704</v>
      </c>
      <c r="G133" s="653"/>
      <c r="H133" s="652">
        <f>H96+H94+H93+H92+H91+H90+H88+H87+H86+H85+H82+H81+H79+H75+H61+H60+H59+H58+H57+H56+H51+H47+H44</f>
        <v>29.393679155551641</v>
      </c>
      <c r="I133" s="653"/>
      <c r="J133" s="652">
        <f>J96+J94+J93+J92+J91+J90+J88+J87+J86+J85+J82+J81+J79+J75+J61+J60+J59+J58+J57+J56+J51+J47+J44</f>
        <v>29.399215143716685</v>
      </c>
      <c r="K133" s="548"/>
    </row>
    <row r="134" spans="1:21">
      <c r="F134" s="4"/>
      <c r="H134" s="4"/>
      <c r="J134" s="4"/>
    </row>
    <row r="135" spans="1:21" ht="39.75" customHeight="1" thickBot="1">
      <c r="A135" s="959" t="s">
        <v>152</v>
      </c>
      <c r="B135" s="959"/>
      <c r="C135" s="959"/>
      <c r="D135" s="959"/>
      <c r="E135" s="959"/>
      <c r="F135" s="959"/>
      <c r="G135" s="959"/>
      <c r="H135" s="959"/>
      <c r="I135" s="959"/>
      <c r="J135" s="488"/>
      <c r="K135" s="980"/>
      <c r="L135" s="981"/>
      <c r="M135" s="981"/>
      <c r="N135" s="489"/>
      <c r="O135" s="343"/>
      <c r="P135" s="343"/>
      <c r="Q135" s="343"/>
      <c r="R135" s="343"/>
      <c r="S135" s="343"/>
      <c r="T135" s="343"/>
      <c r="U135" s="343"/>
    </row>
    <row r="136" spans="1:21" ht="30">
      <c r="A136" s="518"/>
      <c r="B136" s="519"/>
      <c r="C136" s="638"/>
      <c r="D136" s="520" t="s">
        <v>339</v>
      </c>
      <c r="E136" s="521" t="s">
        <v>338</v>
      </c>
      <c r="I136" s="490"/>
      <c r="J136" s="490"/>
      <c r="K136" s="575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</row>
    <row r="137" spans="1:21" ht="45">
      <c r="A137" s="263"/>
      <c r="B137" s="17" t="s">
        <v>4</v>
      </c>
      <c r="C137" s="240"/>
      <c r="D137" s="169" t="s">
        <v>340</v>
      </c>
      <c r="E137" s="522" t="s">
        <v>279</v>
      </c>
      <c r="I137" s="491"/>
      <c r="J137" s="491"/>
      <c r="K137" s="576"/>
      <c r="L137" s="343"/>
      <c r="M137" s="489"/>
      <c r="N137" s="489"/>
      <c r="O137" s="343"/>
      <c r="P137" s="343"/>
      <c r="Q137" s="343"/>
      <c r="R137" s="343"/>
      <c r="S137" s="343"/>
      <c r="T137" s="343"/>
      <c r="U137" s="343"/>
    </row>
    <row r="138" spans="1:21">
      <c r="A138" s="263" t="s">
        <v>153</v>
      </c>
      <c r="B138" s="516"/>
      <c r="C138" s="240"/>
      <c r="D138" s="165">
        <f>F10</f>
        <v>31935.8</v>
      </c>
      <c r="E138" s="264"/>
      <c r="I138" s="491"/>
      <c r="J138" s="491"/>
      <c r="K138" s="577"/>
      <c r="L138" s="492"/>
      <c r="M138" s="492"/>
      <c r="N138" s="492"/>
      <c r="O138" s="343"/>
      <c r="P138" s="343"/>
      <c r="Q138" s="343"/>
      <c r="R138" s="343"/>
      <c r="S138" s="343"/>
      <c r="T138" s="343"/>
      <c r="U138" s="343"/>
    </row>
    <row r="139" spans="1:21">
      <c r="A139" s="263"/>
      <c r="B139" s="516"/>
      <c r="C139" s="240"/>
      <c r="D139" s="165"/>
      <c r="E139" s="264"/>
      <c r="I139" s="493"/>
      <c r="J139" s="493"/>
      <c r="K139" s="577"/>
      <c r="L139" s="492"/>
      <c r="M139" s="492"/>
      <c r="N139" s="492"/>
      <c r="O139" s="343"/>
      <c r="P139" s="343"/>
      <c r="Q139" s="343"/>
      <c r="R139" s="343"/>
      <c r="S139" s="343"/>
      <c r="T139" s="343"/>
      <c r="U139" s="343"/>
    </row>
    <row r="140" spans="1:21">
      <c r="A140" s="263"/>
      <c r="B140" s="516"/>
      <c r="C140" s="240"/>
      <c r="D140" s="165"/>
      <c r="E140" s="264"/>
      <c r="I140" s="493"/>
      <c r="J140" s="493"/>
      <c r="K140" s="577"/>
      <c r="L140" s="492"/>
      <c r="M140" s="492"/>
      <c r="N140" s="492"/>
      <c r="O140" s="343"/>
      <c r="P140" s="343"/>
      <c r="Q140" s="343"/>
      <c r="R140" s="343"/>
      <c r="S140" s="343"/>
      <c r="T140" s="343"/>
      <c r="U140" s="343"/>
    </row>
    <row r="141" spans="1:21">
      <c r="A141" s="263" t="s">
        <v>154</v>
      </c>
      <c r="B141" s="516"/>
      <c r="C141" s="240"/>
      <c r="D141" s="165">
        <f>F11</f>
        <v>1657.2</v>
      </c>
      <c r="E141" s="264"/>
      <c r="I141" s="491"/>
      <c r="J141" s="491"/>
      <c r="K141" s="577"/>
      <c r="L141" s="492"/>
      <c r="M141" s="492"/>
      <c r="N141" s="492"/>
      <c r="O141" s="343"/>
      <c r="P141" s="343"/>
      <c r="Q141" s="343"/>
      <c r="R141" s="343"/>
      <c r="S141" s="343"/>
      <c r="T141" s="343"/>
      <c r="U141" s="343"/>
    </row>
    <row r="142" spans="1:21" ht="15.75" thickBot="1">
      <c r="A142" s="536" t="s">
        <v>155</v>
      </c>
      <c r="B142" s="537"/>
      <c r="C142" s="639"/>
      <c r="D142" s="538">
        <f>F12</f>
        <v>33593</v>
      </c>
      <c r="E142" s="539"/>
      <c r="I142" s="491"/>
      <c r="J142" s="491"/>
      <c r="K142" s="577"/>
      <c r="L142" s="492"/>
      <c r="M142" s="492"/>
      <c r="N142" s="492"/>
      <c r="O142" s="343"/>
      <c r="P142" s="343"/>
      <c r="Q142" s="343"/>
      <c r="R142" s="343"/>
      <c r="S142" s="343"/>
      <c r="T142" s="343"/>
      <c r="U142" s="343"/>
    </row>
    <row r="143" spans="1:21" ht="15.75" customHeight="1" thickBot="1">
      <c r="A143" s="982" t="s">
        <v>156</v>
      </c>
      <c r="B143" s="983"/>
      <c r="C143" s="640"/>
      <c r="D143" s="542">
        <f>D144+D145+D146</f>
        <v>46.509618429930832</v>
      </c>
      <c r="E143" s="325"/>
      <c r="I143" s="491"/>
      <c r="J143" s="491"/>
      <c r="K143" s="577"/>
      <c r="L143" s="492"/>
      <c r="M143" s="492"/>
      <c r="N143" s="492"/>
      <c r="O143" s="343"/>
      <c r="P143" s="343"/>
      <c r="Q143" s="343"/>
      <c r="R143" s="343"/>
      <c r="S143" s="343"/>
      <c r="T143" s="343"/>
      <c r="U143" s="343"/>
    </row>
    <row r="144" spans="1:21" ht="15.75" customHeight="1">
      <c r="A144" s="972" t="s">
        <v>333</v>
      </c>
      <c r="B144" s="973"/>
      <c r="C144" s="641"/>
      <c r="D144" s="540">
        <f>F96+F94+F93+F92+F91+F90+F88+F87+F86+F85+F82+F81+F79+F75+F61+F60+F59+F58+F57+F56+F51+F47+F44</f>
        <v>29.396130510820704</v>
      </c>
      <c r="E144" s="541">
        <v>29.4</v>
      </c>
      <c r="I144" s="491"/>
      <c r="J144" s="491"/>
      <c r="K144" s="577"/>
      <c r="L144" s="492"/>
      <c r="M144" s="492"/>
      <c r="N144" s="492"/>
      <c r="O144" s="343"/>
      <c r="P144" s="343"/>
      <c r="Q144" s="343"/>
      <c r="R144" s="343"/>
      <c r="S144" s="343"/>
      <c r="T144" s="343"/>
      <c r="U144" s="343"/>
    </row>
    <row r="145" spans="1:21">
      <c r="A145" s="976" t="s">
        <v>157</v>
      </c>
      <c r="B145" s="977"/>
      <c r="C145" s="240"/>
      <c r="D145" s="486">
        <f>F26</f>
        <v>9.7437214102144303</v>
      </c>
      <c r="E145" s="264"/>
      <c r="I145" s="491"/>
      <c r="J145" s="491"/>
      <c r="K145" s="577"/>
      <c r="L145" s="492"/>
      <c r="M145" s="492"/>
      <c r="N145" s="492"/>
      <c r="O145" s="343"/>
      <c r="P145" s="343"/>
      <c r="Q145" s="343"/>
      <c r="R145" s="343"/>
      <c r="S145" s="343"/>
      <c r="T145" s="343"/>
      <c r="U145" s="343"/>
    </row>
    <row r="146" spans="1:21" ht="15.75" thickBot="1">
      <c r="A146" s="986" t="s">
        <v>332</v>
      </c>
      <c r="B146" s="987"/>
      <c r="C146" s="642"/>
      <c r="D146" s="523">
        <f>F95+F89+F83+F76+F74+F73+F72+F71+F69+F67+F62</f>
        <v>7.3697665088957027</v>
      </c>
      <c r="E146" s="524"/>
      <c r="I146" s="491"/>
      <c r="J146" s="491"/>
      <c r="K146" s="577"/>
      <c r="L146" s="492"/>
      <c r="M146" s="492"/>
      <c r="N146" s="492"/>
      <c r="O146" s="343"/>
      <c r="P146" s="343"/>
      <c r="Q146" s="343"/>
      <c r="R146" s="343"/>
      <c r="S146" s="343"/>
      <c r="T146" s="343"/>
      <c r="U146" s="343"/>
    </row>
    <row r="147" spans="1:21" ht="15.75" thickBot="1">
      <c r="E147" s="3">
        <f>D152+D153+D154</f>
        <v>18748771.342999998</v>
      </c>
      <c r="I147" s="491"/>
      <c r="J147" s="491"/>
      <c r="K147" s="577"/>
      <c r="L147" s="492"/>
      <c r="M147" s="492"/>
      <c r="N147" s="492"/>
      <c r="O147" s="343"/>
      <c r="P147" s="343"/>
      <c r="Q147" s="343"/>
      <c r="R147" s="343"/>
      <c r="S147" s="343"/>
      <c r="T147" s="343"/>
      <c r="U147" s="343"/>
    </row>
    <row r="148" spans="1:21" ht="15.75">
      <c r="A148" s="518"/>
      <c r="B148" s="519" t="s">
        <v>160</v>
      </c>
      <c r="C148" s="638"/>
      <c r="D148" s="525">
        <v>2311686</v>
      </c>
      <c r="E148" s="526">
        <f>D148</f>
        <v>2311686</v>
      </c>
      <c r="I148" s="494"/>
      <c r="J148" s="494"/>
      <c r="K148" s="578"/>
      <c r="L148" s="341"/>
      <c r="M148" s="341"/>
      <c r="N148" s="341"/>
      <c r="O148" s="343"/>
      <c r="P148" s="343"/>
      <c r="Q148" s="343"/>
      <c r="R148" s="343"/>
      <c r="S148" s="343"/>
      <c r="T148" s="343"/>
      <c r="U148" s="343"/>
    </row>
    <row r="149" spans="1:21" ht="15.75">
      <c r="A149" s="527"/>
      <c r="B149" s="528" t="s">
        <v>158</v>
      </c>
      <c r="C149" s="575"/>
      <c r="D149" s="988" t="s">
        <v>341</v>
      </c>
      <c r="E149" s="989"/>
      <c r="I149" s="493"/>
      <c r="J149" s="493"/>
      <c r="K149" s="579"/>
      <c r="L149" s="495"/>
      <c r="M149" s="495"/>
      <c r="N149" s="495"/>
      <c r="O149" s="492"/>
      <c r="P149" s="343"/>
      <c r="Q149" s="343"/>
      <c r="R149" s="343"/>
      <c r="S149" s="343"/>
      <c r="T149" s="343"/>
      <c r="U149" s="343"/>
    </row>
    <row r="150" spans="1:21" ht="15.75">
      <c r="A150" s="263">
        <v>1</v>
      </c>
      <c r="B150" s="487" t="s">
        <v>334</v>
      </c>
      <c r="C150" s="240"/>
      <c r="D150" s="257"/>
      <c r="E150" s="268">
        <f>(E144*F10+F11*52.16)*12</f>
        <v>12304224.864</v>
      </c>
      <c r="I150" s="491"/>
      <c r="J150" s="491"/>
      <c r="K150" s="575"/>
      <c r="L150" s="343"/>
      <c r="M150" s="343"/>
      <c r="N150" s="343"/>
      <c r="O150" s="343"/>
      <c r="P150" s="343"/>
      <c r="Q150" s="343"/>
      <c r="R150" s="343"/>
      <c r="S150" s="343"/>
      <c r="T150" s="343"/>
      <c r="U150" s="343"/>
    </row>
    <row r="151" spans="1:21" ht="15.75" hidden="1">
      <c r="A151" s="263">
        <v>2</v>
      </c>
      <c r="B151" s="169" t="s">
        <v>162</v>
      </c>
      <c r="C151" s="240"/>
      <c r="D151" s="258"/>
      <c r="E151" s="264"/>
      <c r="I151" s="491"/>
      <c r="J151" s="491"/>
      <c r="K151" s="575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</row>
    <row r="152" spans="1:21" ht="15.75">
      <c r="A152" s="974" t="s">
        <v>333</v>
      </c>
      <c r="B152" s="975"/>
      <c r="C152" s="240"/>
      <c r="D152" s="258">
        <f>D144*F12*12</f>
        <v>11850050.546999998</v>
      </c>
      <c r="E152" s="264"/>
      <c r="I152" s="491"/>
      <c r="J152" s="491"/>
      <c r="K152" s="575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</row>
    <row r="153" spans="1:21" ht="15.75">
      <c r="A153" s="976" t="s">
        <v>157</v>
      </c>
      <c r="B153" s="977"/>
      <c r="C153" s="240"/>
      <c r="D153" s="258">
        <f>D145*F12*12</f>
        <v>3927850.0000000005</v>
      </c>
      <c r="E153" s="264"/>
      <c r="I153" s="491"/>
      <c r="J153" s="491"/>
      <c r="K153" s="575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</row>
    <row r="154" spans="1:21" ht="15.75">
      <c r="A154" s="984" t="s">
        <v>332</v>
      </c>
      <c r="B154" s="985"/>
      <c r="C154" s="240"/>
      <c r="D154" s="287">
        <f>D146*F12*12</f>
        <v>2970870.7960000001</v>
      </c>
      <c r="E154" s="264"/>
      <c r="I154" s="491"/>
      <c r="J154" s="491"/>
      <c r="K154" s="575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</row>
    <row r="155" spans="1:21">
      <c r="A155" s="263"/>
      <c r="B155" s="17" t="s">
        <v>163</v>
      </c>
      <c r="C155" s="240"/>
      <c r="D155" s="256"/>
      <c r="E155" s="264"/>
      <c r="F155" t="s">
        <v>280</v>
      </c>
      <c r="I155" s="491"/>
      <c r="J155" s="491"/>
      <c r="K155" s="575"/>
      <c r="L155" s="496"/>
      <c r="M155" s="496"/>
      <c r="N155" s="496"/>
      <c r="O155" s="343"/>
      <c r="P155" s="343"/>
      <c r="Q155" s="343"/>
      <c r="R155" s="343"/>
      <c r="S155" s="343"/>
      <c r="T155" s="343"/>
      <c r="U155" s="343"/>
    </row>
    <row r="156" spans="1:21">
      <c r="A156" s="529">
        <v>1</v>
      </c>
      <c r="B156" s="516" t="s">
        <v>164</v>
      </c>
      <c r="C156" s="240"/>
      <c r="D156" s="256">
        <f>13.5*D142*12</f>
        <v>5442066</v>
      </c>
      <c r="E156" s="268">
        <f>(F10*F156+F11*13.5)*12</f>
        <v>14485303.492224002</v>
      </c>
      <c r="F156" s="166">
        <f>0.016*2318.59</f>
        <v>37.097440000000006</v>
      </c>
      <c r="I156" s="491"/>
      <c r="J156" s="491"/>
      <c r="K156" s="577"/>
      <c r="L156" s="492"/>
      <c r="M156" s="492"/>
      <c r="N156" s="492"/>
      <c r="O156" s="492"/>
      <c r="P156" s="492"/>
      <c r="Q156" s="343"/>
      <c r="R156" s="343"/>
      <c r="S156" s="343"/>
      <c r="T156" s="343"/>
      <c r="U156" s="343"/>
    </row>
    <row r="157" spans="1:21">
      <c r="A157" s="529" t="s">
        <v>165</v>
      </c>
      <c r="B157" s="516" t="s">
        <v>166</v>
      </c>
      <c r="C157" s="240"/>
      <c r="D157" s="256">
        <f>27881*78</f>
        <v>2174718</v>
      </c>
      <c r="E157" s="268">
        <f>27881*191.72</f>
        <v>5345345.32</v>
      </c>
      <c r="I157" s="491"/>
      <c r="J157" s="491"/>
      <c r="K157" s="575"/>
      <c r="L157" s="343"/>
      <c r="M157" s="343"/>
      <c r="N157" s="343"/>
      <c r="O157" s="492"/>
      <c r="P157" s="492"/>
      <c r="Q157" s="343"/>
      <c r="R157" s="343"/>
      <c r="S157" s="343"/>
      <c r="T157" s="343"/>
      <c r="U157" s="343"/>
    </row>
    <row r="158" spans="1:21">
      <c r="A158" s="529" t="s">
        <v>167</v>
      </c>
      <c r="B158" s="516" t="s">
        <v>168</v>
      </c>
      <c r="C158" s="240"/>
      <c r="D158" s="256">
        <f>47133*38.7</f>
        <v>1824047.1</v>
      </c>
      <c r="E158" s="268">
        <f>D158</f>
        <v>1824047.1</v>
      </c>
      <c r="I158" s="491"/>
      <c r="J158" s="491"/>
      <c r="K158" s="575"/>
      <c r="L158" s="343"/>
      <c r="M158" s="343"/>
      <c r="N158" s="343"/>
      <c r="O158" s="492"/>
      <c r="P158" s="492"/>
      <c r="Q158" s="343"/>
      <c r="R158" s="343"/>
      <c r="S158" s="343"/>
      <c r="T158" s="343"/>
      <c r="U158" s="343"/>
    </row>
    <row r="159" spans="1:21">
      <c r="A159" s="529" t="s">
        <v>169</v>
      </c>
      <c r="B159" s="516" t="s">
        <v>170</v>
      </c>
      <c r="C159" s="240"/>
      <c r="D159" s="256">
        <f>75014*27.47</f>
        <v>2060634.5799999998</v>
      </c>
      <c r="E159" s="268">
        <f>D159</f>
        <v>2060634.5799999998</v>
      </c>
      <c r="I159" s="491"/>
      <c r="J159" s="491"/>
      <c r="K159" s="577"/>
      <c r="L159" s="492"/>
      <c r="M159" s="492"/>
      <c r="N159" s="492"/>
      <c r="O159" s="492"/>
      <c r="P159" s="492"/>
      <c r="Q159" s="343"/>
      <c r="R159" s="343"/>
      <c r="S159" s="343"/>
      <c r="T159" s="343"/>
      <c r="U159" s="343"/>
    </row>
    <row r="160" spans="1:21">
      <c r="A160" s="529" t="s">
        <v>171</v>
      </c>
      <c r="B160" s="516" t="s">
        <v>172</v>
      </c>
      <c r="C160" s="240"/>
      <c r="D160" s="256">
        <f>1338940*1.02</f>
        <v>1365718.8</v>
      </c>
      <c r="E160" s="268">
        <f>D160</f>
        <v>1365718.8</v>
      </c>
      <c r="I160" s="491"/>
      <c r="J160" s="491"/>
      <c r="K160" s="577"/>
      <c r="L160" s="492"/>
      <c r="M160" s="492"/>
      <c r="N160" s="492"/>
      <c r="O160" s="492"/>
      <c r="P160" s="492"/>
      <c r="Q160" s="343"/>
      <c r="R160" s="343"/>
      <c r="S160" s="343"/>
      <c r="T160" s="343"/>
      <c r="U160" s="343"/>
    </row>
    <row r="161" spans="1:21">
      <c r="A161" s="529" t="s">
        <v>173</v>
      </c>
      <c r="B161" s="516" t="s">
        <v>174</v>
      </c>
      <c r="C161" s="240"/>
      <c r="D161" s="256">
        <v>385913</v>
      </c>
      <c r="E161" s="268">
        <f>D161</f>
        <v>385913</v>
      </c>
      <c r="I161" s="491"/>
      <c r="J161" s="491"/>
      <c r="K161" s="577"/>
      <c r="L161" s="492"/>
      <c r="M161" s="492"/>
      <c r="N161" s="492"/>
      <c r="O161" s="492"/>
      <c r="P161" s="492"/>
      <c r="Q161" s="343"/>
      <c r="R161" s="343"/>
      <c r="S161" s="343"/>
      <c r="T161" s="343"/>
      <c r="U161" s="343"/>
    </row>
    <row r="162" spans="1:21">
      <c r="A162" s="529" t="s">
        <v>175</v>
      </c>
      <c r="B162" s="516" t="s">
        <v>176</v>
      </c>
      <c r="C162" s="240"/>
      <c r="D162" s="260">
        <v>84000</v>
      </c>
      <c r="E162" s="268">
        <f>D162</f>
        <v>84000</v>
      </c>
      <c r="I162" s="491"/>
      <c r="J162" s="491"/>
      <c r="K162" s="577"/>
      <c r="L162" s="492"/>
      <c r="M162" s="492"/>
      <c r="N162" s="492"/>
      <c r="O162" s="492"/>
      <c r="P162" s="492"/>
      <c r="Q162" s="343"/>
      <c r="R162" s="343"/>
      <c r="S162" s="343"/>
      <c r="T162" s="343"/>
      <c r="U162" s="343"/>
    </row>
    <row r="163" spans="1:21">
      <c r="A163" s="529"/>
      <c r="B163" s="516"/>
      <c r="C163" s="240"/>
      <c r="D163" s="260"/>
      <c r="E163" s="268"/>
      <c r="I163" s="491"/>
      <c r="J163" s="491"/>
      <c r="K163" s="577"/>
      <c r="L163" s="492"/>
      <c r="M163" s="492"/>
      <c r="N163" s="492"/>
      <c r="O163" s="492"/>
      <c r="P163" s="492"/>
      <c r="Q163" s="343"/>
      <c r="R163" s="343"/>
      <c r="S163" s="343"/>
      <c r="T163" s="343"/>
      <c r="U163" s="343"/>
    </row>
    <row r="164" spans="1:21" ht="30">
      <c r="A164" s="529"/>
      <c r="B164" s="169" t="s">
        <v>343</v>
      </c>
      <c r="C164" s="240"/>
      <c r="D164" s="192">
        <v>147500</v>
      </c>
      <c r="E164" s="530">
        <v>147500</v>
      </c>
      <c r="I164" s="491"/>
      <c r="J164" s="491"/>
      <c r="K164" s="577"/>
      <c r="L164" s="492"/>
      <c r="M164" s="492"/>
      <c r="N164" s="492"/>
      <c r="O164" s="492"/>
      <c r="P164" s="492"/>
      <c r="Q164" s="343"/>
      <c r="R164" s="343"/>
      <c r="S164" s="343"/>
      <c r="T164" s="343"/>
      <c r="U164" s="343"/>
    </row>
    <row r="165" spans="1:21" ht="15.75">
      <c r="A165" s="529"/>
      <c r="B165" s="516" t="s">
        <v>288</v>
      </c>
      <c r="C165" s="240"/>
      <c r="D165" s="192">
        <v>200000</v>
      </c>
      <c r="E165" s="530">
        <v>200000</v>
      </c>
      <c r="I165" s="494"/>
      <c r="J165" s="494"/>
      <c r="K165" s="578"/>
      <c r="L165" s="341"/>
      <c r="M165" s="341"/>
      <c r="N165" s="341"/>
      <c r="O165" s="343"/>
      <c r="P165" s="343"/>
      <c r="Q165" s="343"/>
      <c r="R165" s="343"/>
      <c r="S165" s="343"/>
      <c r="T165" s="343"/>
      <c r="U165" s="343"/>
    </row>
    <row r="166" spans="1:21" ht="30">
      <c r="A166" s="529"/>
      <c r="B166" s="169" t="s">
        <v>342</v>
      </c>
      <c r="C166" s="240"/>
      <c r="D166" s="192">
        <v>170000</v>
      </c>
      <c r="E166" s="530">
        <v>170000</v>
      </c>
      <c r="I166" s="493"/>
      <c r="J166" s="493"/>
      <c r="K166" s="579"/>
      <c r="L166" s="495"/>
      <c r="M166" s="495"/>
      <c r="N166" s="495"/>
      <c r="O166" s="978"/>
      <c r="P166" s="979"/>
      <c r="Q166" s="343"/>
      <c r="R166" s="343"/>
      <c r="S166" s="343"/>
      <c r="T166" s="343"/>
      <c r="U166" s="343"/>
    </row>
    <row r="167" spans="1:21" s="173" customFormat="1" ht="16.5" thickBot="1">
      <c r="A167" s="531"/>
      <c r="B167" s="532" t="s">
        <v>177</v>
      </c>
      <c r="C167" s="643"/>
      <c r="D167" s="533">
        <f>SUM(D150:D166)</f>
        <v>32603368.822999999</v>
      </c>
      <c r="E167" s="534">
        <f>SUM(E150:E166)</f>
        <v>38372687.156223997</v>
      </c>
      <c r="I167" s="491"/>
      <c r="J167" s="491"/>
      <c r="K167" s="575"/>
      <c r="L167" s="343"/>
      <c r="M167" s="343"/>
      <c r="N167" s="343"/>
      <c r="O167" s="497"/>
      <c r="P167" s="498"/>
      <c r="Q167" s="498"/>
      <c r="R167" s="498"/>
      <c r="S167" s="498"/>
      <c r="T167" s="498"/>
      <c r="U167" s="498"/>
    </row>
    <row r="168" spans="1:21" ht="15.75" thickBot="1">
      <c r="J168" s="491"/>
      <c r="K168" s="575"/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</row>
    <row r="169" spans="1:21" ht="15.75">
      <c r="A169" s="518"/>
      <c r="B169" s="535" t="s">
        <v>178</v>
      </c>
      <c r="C169" s="644" t="s">
        <v>179</v>
      </c>
      <c r="D169" s="952" t="s">
        <v>180</v>
      </c>
      <c r="E169" s="953"/>
      <c r="J169" s="491"/>
      <c r="K169" s="575"/>
      <c r="L169" s="343"/>
      <c r="M169" s="343"/>
      <c r="N169" s="343"/>
      <c r="O169" s="492"/>
      <c r="P169" s="343"/>
      <c r="Q169" s="343"/>
      <c r="R169" s="343"/>
      <c r="S169" s="343"/>
      <c r="T169" s="343"/>
      <c r="U169" s="343"/>
    </row>
    <row r="170" spans="1:21" ht="36" customHeight="1">
      <c r="A170" s="263"/>
      <c r="B170" s="175" t="s">
        <v>181</v>
      </c>
      <c r="C170" s="240"/>
      <c r="D170" s="171">
        <f>D97</f>
        <v>18748771.343000002</v>
      </c>
      <c r="E170" s="268">
        <f>D97</f>
        <v>18748771.343000002</v>
      </c>
      <c r="J170" s="491"/>
      <c r="K170" s="575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</row>
    <row r="171" spans="1:21" ht="16.5" hidden="1" customHeight="1">
      <c r="A171" s="263"/>
      <c r="B171" s="175" t="s">
        <v>182</v>
      </c>
      <c r="C171" s="240"/>
      <c r="D171" s="171"/>
      <c r="E171" s="264"/>
      <c r="J171" s="491"/>
      <c r="K171" s="575"/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</row>
    <row r="172" spans="1:21">
      <c r="A172" s="263"/>
      <c r="B172" s="17" t="s">
        <v>183</v>
      </c>
      <c r="C172" s="240"/>
      <c r="D172" s="165"/>
      <c r="E172" s="264"/>
      <c r="J172" s="491"/>
      <c r="K172" s="575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</row>
    <row r="173" spans="1:21">
      <c r="A173" s="263">
        <v>1</v>
      </c>
      <c r="B173" s="516" t="s">
        <v>273</v>
      </c>
      <c r="C173" s="645">
        <v>1131730.8631018416</v>
      </c>
      <c r="D173" s="21">
        <v>5701286</v>
      </c>
      <c r="E173" s="268">
        <f t="shared" ref="E173:E180" si="29">D173</f>
        <v>5701286</v>
      </c>
      <c r="J173" s="491"/>
      <c r="K173" s="575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</row>
    <row r="174" spans="1:21">
      <c r="A174" s="263"/>
      <c r="B174" s="240" t="s">
        <v>184</v>
      </c>
      <c r="C174" s="645">
        <v>90925.338325991193</v>
      </c>
      <c r="D174" s="21">
        <v>412801.03600000002</v>
      </c>
      <c r="E174" s="268">
        <f t="shared" si="29"/>
        <v>412801.03600000002</v>
      </c>
      <c r="J174" s="491"/>
      <c r="K174" s="575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</row>
    <row r="175" spans="1:21">
      <c r="A175" s="263">
        <v>2</v>
      </c>
      <c r="B175" s="516" t="s">
        <v>185</v>
      </c>
      <c r="C175" s="645">
        <v>1222656.2014278329</v>
      </c>
      <c r="D175" s="21">
        <f>81262*1.03</f>
        <v>83699.86</v>
      </c>
      <c r="E175" s="268">
        <f t="shared" si="29"/>
        <v>83699.86</v>
      </c>
    </row>
    <row r="176" spans="1:21">
      <c r="A176" s="263">
        <v>3</v>
      </c>
      <c r="B176" s="516" t="s">
        <v>186</v>
      </c>
      <c r="C176" s="240">
        <v>75014</v>
      </c>
      <c r="D176" s="21">
        <f>C176*38.7</f>
        <v>2903041.8000000003</v>
      </c>
      <c r="E176" s="268">
        <f t="shared" si="29"/>
        <v>2903041.8000000003</v>
      </c>
    </row>
    <row r="177" spans="1:14">
      <c r="A177" s="263">
        <v>4</v>
      </c>
      <c r="B177" s="516" t="s">
        <v>187</v>
      </c>
      <c r="C177" s="240">
        <v>75014</v>
      </c>
      <c r="D177" s="21">
        <f>C177*27.47</f>
        <v>2060634.5799999998</v>
      </c>
      <c r="E177" s="268">
        <f t="shared" si="29"/>
        <v>2060634.5799999998</v>
      </c>
    </row>
    <row r="178" spans="1:14">
      <c r="A178" s="263">
        <v>5</v>
      </c>
      <c r="B178" s="516" t="s">
        <v>188</v>
      </c>
      <c r="C178" s="240"/>
      <c r="D178" s="21">
        <f>687074*1.02</f>
        <v>700815.48</v>
      </c>
      <c r="E178" s="268">
        <f t="shared" si="29"/>
        <v>700815.48</v>
      </c>
    </row>
    <row r="179" spans="1:14">
      <c r="A179" s="263">
        <v>6</v>
      </c>
      <c r="B179" s="516" t="s">
        <v>189</v>
      </c>
      <c r="C179" s="240"/>
      <c r="D179" s="21">
        <f>1338940*1.02</f>
        <v>1365718.8</v>
      </c>
      <c r="E179" s="268">
        <f t="shared" si="29"/>
        <v>1365718.8</v>
      </c>
    </row>
    <row r="180" spans="1:14" ht="15.75">
      <c r="A180" s="263">
        <v>7</v>
      </c>
      <c r="B180" s="516" t="s">
        <v>190</v>
      </c>
      <c r="C180" s="240"/>
      <c r="D180" s="21">
        <v>385913</v>
      </c>
      <c r="E180" s="268">
        <f t="shared" si="29"/>
        <v>385913</v>
      </c>
      <c r="I180" s="173"/>
      <c r="J180" s="173"/>
      <c r="K180" s="580"/>
      <c r="L180" s="173"/>
      <c r="M180" s="173"/>
      <c r="N180" s="173"/>
    </row>
    <row r="181" spans="1:14">
      <c r="A181" s="263"/>
      <c r="B181" s="516"/>
      <c r="C181" s="240"/>
      <c r="D181" s="21"/>
      <c r="E181" s="268"/>
    </row>
    <row r="182" spans="1:14">
      <c r="A182" s="263"/>
      <c r="B182" s="516" t="s">
        <v>287</v>
      </c>
      <c r="C182" s="240"/>
      <c r="D182" s="21">
        <v>517500</v>
      </c>
      <c r="E182" s="268">
        <v>517500</v>
      </c>
    </row>
    <row r="183" spans="1:14" ht="18.75">
      <c r="A183" s="263"/>
      <c r="B183" s="516"/>
      <c r="C183" s="240"/>
      <c r="D183" s="21"/>
      <c r="E183" s="268"/>
      <c r="I183" s="176"/>
      <c r="J183" s="176"/>
      <c r="K183" s="581"/>
      <c r="L183" s="176"/>
      <c r="M183" s="176"/>
      <c r="N183" s="176"/>
    </row>
    <row r="184" spans="1:14" s="173" customFormat="1" ht="16.5" thickBot="1">
      <c r="A184" s="531"/>
      <c r="B184" s="532" t="s">
        <v>191</v>
      </c>
      <c r="C184" s="643"/>
      <c r="D184" s="533">
        <f>D173+D175+D176+D177+D178+D179+D180+D170+D182</f>
        <v>32467380.863000005</v>
      </c>
      <c r="E184" s="534">
        <f>E180+E179+E178+E177+E176+E175+E173+E170+E182</f>
        <v>32467380.863000002</v>
      </c>
      <c r="I184" s="5"/>
      <c r="J184" s="5"/>
      <c r="K184" s="548"/>
      <c r="L184"/>
      <c r="M184"/>
      <c r="N184"/>
    </row>
    <row r="185" spans="1:14">
      <c r="I185" s="184"/>
      <c r="J185" s="184"/>
      <c r="K185" s="582"/>
      <c r="L185" s="50"/>
      <c r="M185" s="50"/>
      <c r="N185" s="50"/>
    </row>
    <row r="186" spans="1:14">
      <c r="I186" s="184"/>
      <c r="J186" s="184"/>
      <c r="K186" s="582"/>
      <c r="L186" s="50"/>
      <c r="M186" s="50"/>
      <c r="N186" s="50"/>
    </row>
    <row r="187" spans="1:14" s="176" customFormat="1" ht="37.5" hidden="1">
      <c r="B187" s="176" t="s">
        <v>192</v>
      </c>
      <c r="C187" s="581" t="s">
        <v>193</v>
      </c>
      <c r="D187" s="177" t="s">
        <v>194</v>
      </c>
      <c r="E187" s="177" t="s">
        <v>195</v>
      </c>
      <c r="F187" s="177" t="s">
        <v>196</v>
      </c>
      <c r="I187" s="184"/>
      <c r="J187" s="184"/>
      <c r="K187" s="582"/>
      <c r="L187" s="50"/>
      <c r="M187" s="50"/>
      <c r="N187" s="50"/>
    </row>
    <row r="188" spans="1:14" ht="15.75" hidden="1" thickBot="1">
      <c r="B188" s="178" t="s">
        <v>197</v>
      </c>
      <c r="C188" s="646"/>
      <c r="D188" s="179">
        <v>38</v>
      </c>
      <c r="E188" s="180">
        <v>51</v>
      </c>
      <c r="F188" s="179">
        <v>73</v>
      </c>
      <c r="I188" s="184"/>
      <c r="J188" s="184"/>
      <c r="K188" s="582"/>
      <c r="L188" s="50"/>
      <c r="M188" s="50"/>
      <c r="N188" s="50"/>
    </row>
    <row r="189" spans="1:14" s="50" customFormat="1" ht="31.5" hidden="1" customHeight="1">
      <c r="B189" s="181" t="s">
        <v>198</v>
      </c>
      <c r="C189" s="647">
        <f>F23</f>
        <v>46.509618429930839</v>
      </c>
      <c r="D189" s="183">
        <f>$C189*D188</f>
        <v>1767.3655003373719</v>
      </c>
      <c r="E189" s="183">
        <f>$C189*E188</f>
        <v>2371.9905399264726</v>
      </c>
      <c r="F189" s="183">
        <f>$C189*F188</f>
        <v>3395.2021453849511</v>
      </c>
      <c r="I189" s="184"/>
      <c r="J189" s="184"/>
      <c r="K189" s="582"/>
    </row>
    <row r="190" spans="1:14" s="50" customFormat="1" hidden="1">
      <c r="B190" s="181" t="s">
        <v>199</v>
      </c>
      <c r="C190" s="582">
        <v>13.5</v>
      </c>
      <c r="D190" s="183">
        <f>$C190*D188</f>
        <v>513</v>
      </c>
      <c r="E190" s="183">
        <f>$C190*E188</f>
        <v>688.5</v>
      </c>
      <c r="F190" s="183">
        <f>$C190*F188</f>
        <v>985.5</v>
      </c>
      <c r="I190" s="184"/>
      <c r="J190" s="184"/>
      <c r="K190" s="582"/>
    </row>
    <row r="191" spans="1:14" s="50" customFormat="1" hidden="1">
      <c r="B191" s="181" t="s">
        <v>200</v>
      </c>
      <c r="C191" s="582">
        <v>78</v>
      </c>
      <c r="D191" s="183">
        <f>$D192*C191</f>
        <v>156</v>
      </c>
      <c r="E191" s="183">
        <f t="shared" ref="E191:F191" si="30">$D192*D191</f>
        <v>312</v>
      </c>
      <c r="F191" s="183">
        <f t="shared" si="30"/>
        <v>624</v>
      </c>
      <c r="I191" s="184"/>
      <c r="J191" s="184"/>
      <c r="K191" s="582"/>
    </row>
    <row r="192" spans="1:14" s="50" customFormat="1" hidden="1">
      <c r="B192" s="50" t="s">
        <v>201</v>
      </c>
      <c r="C192" s="582"/>
      <c r="D192" s="183">
        <v>2</v>
      </c>
      <c r="E192" s="183">
        <v>4</v>
      </c>
      <c r="F192" s="183">
        <v>6</v>
      </c>
      <c r="I192" s="184"/>
      <c r="J192" s="184"/>
      <c r="K192" s="582"/>
    </row>
    <row r="193" spans="2:14" s="50" customFormat="1" hidden="1">
      <c r="B193" s="181" t="s">
        <v>202</v>
      </c>
      <c r="C193" s="582">
        <v>38.06</v>
      </c>
      <c r="D193" s="183">
        <f>$C193*D194</f>
        <v>152.24</v>
      </c>
      <c r="E193" s="183">
        <f t="shared" ref="E193:F193" si="31">$C193*E194</f>
        <v>304.48</v>
      </c>
      <c r="F193" s="183">
        <f t="shared" si="31"/>
        <v>456.72</v>
      </c>
      <c r="I193" s="184"/>
      <c r="J193" s="184"/>
      <c r="K193" s="582"/>
    </row>
    <row r="194" spans="2:14" s="50" customFormat="1" hidden="1">
      <c r="B194" s="50" t="s">
        <v>203</v>
      </c>
      <c r="C194" s="582"/>
      <c r="D194" s="183">
        <v>4</v>
      </c>
      <c r="E194" s="183">
        <v>8</v>
      </c>
      <c r="F194" s="183">
        <v>12</v>
      </c>
      <c r="I194" s="184"/>
      <c r="J194" s="184"/>
      <c r="K194" s="582"/>
    </row>
    <row r="195" spans="2:14" s="50" customFormat="1" hidden="1">
      <c r="B195" s="181" t="s">
        <v>170</v>
      </c>
      <c r="C195" s="582">
        <v>27.01</v>
      </c>
      <c r="D195" s="183">
        <f>$C195*D196</f>
        <v>162.06</v>
      </c>
      <c r="E195" s="183">
        <f t="shared" ref="E195:F195" si="32">$C195*E196</f>
        <v>324.12</v>
      </c>
      <c r="F195" s="183">
        <f t="shared" si="32"/>
        <v>486.18</v>
      </c>
      <c r="I195" s="184"/>
      <c r="J195" s="184"/>
      <c r="K195" s="582"/>
    </row>
    <row r="196" spans="2:14" s="50" customFormat="1" hidden="1">
      <c r="B196" s="185" t="s">
        <v>204</v>
      </c>
      <c r="C196" s="582"/>
      <c r="D196" s="183">
        <f>D194+D192</f>
        <v>6</v>
      </c>
      <c r="E196" s="183">
        <f t="shared" ref="E196:F196" si="33">E194+E192</f>
        <v>12</v>
      </c>
      <c r="F196" s="183">
        <f t="shared" si="33"/>
        <v>18</v>
      </c>
      <c r="I196" s="184"/>
      <c r="J196" s="184"/>
      <c r="K196" s="582"/>
    </row>
    <row r="197" spans="2:14" s="50" customFormat="1" hidden="1">
      <c r="B197" s="181" t="s">
        <v>62</v>
      </c>
      <c r="C197" s="582">
        <v>25</v>
      </c>
      <c r="D197" s="183">
        <f>C197</f>
        <v>25</v>
      </c>
      <c r="E197" s="183">
        <f t="shared" ref="E197:F199" si="34">D197</f>
        <v>25</v>
      </c>
      <c r="F197" s="183">
        <f t="shared" si="34"/>
        <v>25</v>
      </c>
      <c r="I197" s="5"/>
      <c r="J197" s="5"/>
      <c r="K197" s="548"/>
      <c r="L197"/>
      <c r="M197"/>
      <c r="N197"/>
    </row>
    <row r="198" spans="2:14" s="50" customFormat="1" ht="18.75" hidden="1">
      <c r="B198" s="181" t="s">
        <v>205</v>
      </c>
      <c r="C198" s="582">
        <v>149</v>
      </c>
      <c r="D198" s="183">
        <f>C198</f>
        <v>149</v>
      </c>
      <c r="E198" s="183">
        <f t="shared" si="34"/>
        <v>149</v>
      </c>
      <c r="F198" s="183">
        <f t="shared" si="34"/>
        <v>149</v>
      </c>
      <c r="I198" s="176"/>
      <c r="J198" s="176"/>
      <c r="K198" s="581"/>
      <c r="L198" s="176"/>
      <c r="M198" s="176"/>
      <c r="N198" s="176"/>
    </row>
    <row r="199" spans="2:14" s="50" customFormat="1" hidden="1">
      <c r="B199" s="181" t="s">
        <v>206</v>
      </c>
      <c r="C199" s="582">
        <v>105.02</v>
      </c>
      <c r="D199" s="183">
        <f>C199</f>
        <v>105.02</v>
      </c>
      <c r="E199" s="183">
        <f t="shared" si="34"/>
        <v>105.02</v>
      </c>
      <c r="F199" s="183">
        <f t="shared" si="34"/>
        <v>105.02</v>
      </c>
      <c r="I199" s="5"/>
      <c r="J199" s="5"/>
      <c r="K199" s="548"/>
      <c r="L199"/>
      <c r="M199"/>
      <c r="N199"/>
    </row>
    <row r="200" spans="2:14" s="50" customFormat="1" ht="15.75" hidden="1">
      <c r="B200" s="186" t="s">
        <v>21</v>
      </c>
      <c r="C200" s="648"/>
      <c r="D200" s="187">
        <f>D199+D198+D197+D195+D193+D191+D190+D189</f>
        <v>3029.6855003373721</v>
      </c>
      <c r="E200" s="187">
        <f t="shared" ref="E200" si="35">E199+E198+E197+E195+E193+E191+E190+E189</f>
        <v>4280.1105399264725</v>
      </c>
      <c r="F200" s="187">
        <f>F199+F198+F197+F195+F193+F191+F190+F189</f>
        <v>6226.6221453849512</v>
      </c>
      <c r="I200" s="184"/>
      <c r="J200" s="184"/>
      <c r="K200" s="582"/>
    </row>
    <row r="201" spans="2:14" hidden="1">
      <c r="I201" s="184"/>
      <c r="J201" s="184"/>
      <c r="K201" s="582"/>
      <c r="L201" s="50"/>
      <c r="M201" s="50"/>
      <c r="N201" s="50"/>
    </row>
    <row r="202" spans="2:14" s="176" customFormat="1" ht="37.5" hidden="1">
      <c r="B202" s="176" t="s">
        <v>207</v>
      </c>
      <c r="C202" s="581" t="s">
        <v>193</v>
      </c>
      <c r="D202" s="177" t="s">
        <v>194</v>
      </c>
      <c r="E202" s="177" t="s">
        <v>195</v>
      </c>
      <c r="F202" s="177" t="s">
        <v>196</v>
      </c>
      <c r="I202" s="184"/>
      <c r="J202" s="184"/>
      <c r="K202" s="582"/>
      <c r="L202" s="50"/>
      <c r="M202" s="50"/>
      <c r="N202" s="50"/>
    </row>
    <row r="203" spans="2:14" ht="15.75" hidden="1" thickBot="1">
      <c r="B203" s="178" t="s">
        <v>197</v>
      </c>
      <c r="C203" s="646"/>
      <c r="D203" s="179">
        <v>38</v>
      </c>
      <c r="E203" s="180">
        <v>51</v>
      </c>
      <c r="F203" s="179">
        <v>73</v>
      </c>
      <c r="I203" s="184"/>
      <c r="J203" s="184"/>
      <c r="K203" s="582"/>
      <c r="L203" s="50"/>
      <c r="M203" s="50"/>
      <c r="N203" s="50"/>
    </row>
    <row r="204" spans="2:14" s="50" customFormat="1" ht="19.5" hidden="1" customHeight="1">
      <c r="B204" s="181" t="s">
        <v>208</v>
      </c>
      <c r="C204" s="647"/>
      <c r="D204" s="183"/>
      <c r="E204" s="183"/>
      <c r="F204" s="183"/>
      <c r="I204" s="184"/>
      <c r="J204" s="184"/>
      <c r="K204" s="582"/>
    </row>
    <row r="205" spans="2:14" s="50" customFormat="1" ht="18" hidden="1" customHeight="1">
      <c r="B205" s="181" t="s">
        <v>209</v>
      </c>
      <c r="C205" s="647" t="e">
        <f>F23-F26-#REF!</f>
        <v>#REF!</v>
      </c>
      <c r="D205" s="183" t="e">
        <f>$C205*D203</f>
        <v>#REF!</v>
      </c>
      <c r="E205" s="183" t="e">
        <f t="shared" ref="E205:F205" si="36">$C205*E203</f>
        <v>#REF!</v>
      </c>
      <c r="F205" s="183" t="e">
        <f t="shared" si="36"/>
        <v>#REF!</v>
      </c>
      <c r="I205" s="184"/>
      <c r="J205" s="184"/>
      <c r="K205" s="582"/>
    </row>
    <row r="206" spans="2:14" s="50" customFormat="1" ht="31.5" hidden="1" customHeight="1">
      <c r="B206" s="181" t="s">
        <v>210</v>
      </c>
      <c r="C206" s="647">
        <f>F26</f>
        <v>9.7437214102144303</v>
      </c>
      <c r="D206" s="183">
        <f>$C206*D203</f>
        <v>370.26141358814834</v>
      </c>
      <c r="E206" s="183">
        <f t="shared" ref="E206:F206" si="37">$C206*E203</f>
        <v>496.92979192093594</v>
      </c>
      <c r="F206" s="183">
        <f t="shared" si="37"/>
        <v>711.29166294565346</v>
      </c>
      <c r="I206" s="184"/>
      <c r="J206" s="184"/>
      <c r="K206" s="582"/>
    </row>
    <row r="207" spans="2:14" s="50" customFormat="1" hidden="1">
      <c r="B207" s="181" t="s">
        <v>199</v>
      </c>
      <c r="C207" s="582">
        <v>13.5</v>
      </c>
      <c r="D207" s="183">
        <f>$C207*D203</f>
        <v>513</v>
      </c>
      <c r="E207" s="183">
        <f>$C207*E203</f>
        <v>688.5</v>
      </c>
      <c r="F207" s="183">
        <f>$C207*F203</f>
        <v>985.5</v>
      </c>
      <c r="I207" s="184"/>
      <c r="J207" s="184"/>
      <c r="K207" s="582"/>
    </row>
    <row r="208" spans="2:14" s="50" customFormat="1" hidden="1">
      <c r="B208" s="181" t="s">
        <v>200</v>
      </c>
      <c r="C208" s="582">
        <v>78</v>
      </c>
      <c r="D208" s="183">
        <f>$D209*C208</f>
        <v>156</v>
      </c>
      <c r="E208" s="183">
        <f t="shared" ref="E208:F208" si="38">$D209*D208</f>
        <v>312</v>
      </c>
      <c r="F208" s="183">
        <f t="shared" si="38"/>
        <v>624</v>
      </c>
      <c r="I208" s="184"/>
      <c r="J208" s="184"/>
      <c r="K208" s="582"/>
    </row>
    <row r="209" spans="2:14" s="50" customFormat="1" hidden="1">
      <c r="B209" s="50" t="s">
        <v>201</v>
      </c>
      <c r="C209" s="582"/>
      <c r="D209" s="183">
        <v>2</v>
      </c>
      <c r="E209" s="183">
        <v>4</v>
      </c>
      <c r="F209" s="183">
        <v>6</v>
      </c>
      <c r="I209" s="184"/>
      <c r="J209" s="184"/>
      <c r="K209" s="582"/>
    </row>
    <row r="210" spans="2:14" s="50" customFormat="1" hidden="1">
      <c r="B210" s="181" t="s">
        <v>202</v>
      </c>
      <c r="C210" s="582">
        <v>38.06</v>
      </c>
      <c r="D210" s="183">
        <f>$C210*D211</f>
        <v>152.24</v>
      </c>
      <c r="E210" s="183">
        <f t="shared" ref="E210:F210" si="39">$C210*E211</f>
        <v>304.48</v>
      </c>
      <c r="F210" s="183">
        <f t="shared" si="39"/>
        <v>456.72</v>
      </c>
      <c r="I210" s="184"/>
      <c r="J210" s="184"/>
      <c r="K210" s="582"/>
    </row>
    <row r="211" spans="2:14" s="50" customFormat="1" hidden="1">
      <c r="B211" s="50" t="s">
        <v>203</v>
      </c>
      <c r="C211" s="582"/>
      <c r="D211" s="183">
        <v>4</v>
      </c>
      <c r="E211" s="183">
        <v>8</v>
      </c>
      <c r="F211" s="183">
        <v>12</v>
      </c>
      <c r="I211" s="184"/>
      <c r="J211" s="184"/>
      <c r="K211" s="582"/>
    </row>
    <row r="212" spans="2:14" s="50" customFormat="1" hidden="1">
      <c r="B212" s="181" t="s">
        <v>170</v>
      </c>
      <c r="C212" s="582">
        <v>27.01</v>
      </c>
      <c r="D212" s="183">
        <f>$C212*D213</f>
        <v>162.06</v>
      </c>
      <c r="E212" s="183">
        <f t="shared" ref="E212:F212" si="40">$C212*E213</f>
        <v>324.12</v>
      </c>
      <c r="F212" s="183">
        <f t="shared" si="40"/>
        <v>486.18</v>
      </c>
      <c r="I212" s="184"/>
      <c r="J212" s="184"/>
      <c r="K212" s="582"/>
    </row>
    <row r="213" spans="2:14" s="50" customFormat="1" hidden="1">
      <c r="B213" s="185" t="s">
        <v>204</v>
      </c>
      <c r="C213" s="582"/>
      <c r="D213" s="183">
        <f>D211+D209</f>
        <v>6</v>
      </c>
      <c r="E213" s="183">
        <f t="shared" ref="E213:F213" si="41">E211+E209</f>
        <v>12</v>
      </c>
      <c r="F213" s="183">
        <f t="shared" si="41"/>
        <v>18</v>
      </c>
      <c r="I213" s="184"/>
      <c r="J213" s="184"/>
      <c r="K213" s="582"/>
    </row>
    <row r="214" spans="2:14" s="50" customFormat="1" hidden="1">
      <c r="B214" s="181" t="s">
        <v>62</v>
      </c>
      <c r="C214" s="582">
        <v>25</v>
      </c>
      <c r="D214" s="183">
        <f>C214</f>
        <v>25</v>
      </c>
      <c r="E214" s="183">
        <f t="shared" ref="E214:F216" si="42">D214</f>
        <v>25</v>
      </c>
      <c r="F214" s="183">
        <f t="shared" si="42"/>
        <v>25</v>
      </c>
      <c r="I214" s="184"/>
      <c r="J214" s="184"/>
      <c r="K214" s="582"/>
    </row>
    <row r="215" spans="2:14" s="50" customFormat="1" hidden="1">
      <c r="B215" s="181" t="s">
        <v>205</v>
      </c>
      <c r="C215" s="582">
        <v>149</v>
      </c>
      <c r="D215" s="183">
        <f>C215</f>
        <v>149</v>
      </c>
      <c r="E215" s="183">
        <f t="shared" si="42"/>
        <v>149</v>
      </c>
      <c r="F215" s="183">
        <f t="shared" si="42"/>
        <v>149</v>
      </c>
      <c r="I215" s="5"/>
      <c r="J215" s="5"/>
      <c r="K215" s="548"/>
      <c r="L215"/>
      <c r="M215"/>
      <c r="N215"/>
    </row>
    <row r="216" spans="2:14" s="50" customFormat="1" hidden="1">
      <c r="B216" s="181" t="s">
        <v>206</v>
      </c>
      <c r="C216" s="582">
        <v>105.02</v>
      </c>
      <c r="D216" s="183">
        <f>C216</f>
        <v>105.02</v>
      </c>
      <c r="E216" s="183">
        <f t="shared" si="42"/>
        <v>105.02</v>
      </c>
      <c r="F216" s="183">
        <f t="shared" si="42"/>
        <v>105.02</v>
      </c>
      <c r="I216" s="5"/>
      <c r="J216" s="5"/>
      <c r="K216" s="548"/>
      <c r="L216"/>
      <c r="M216"/>
      <c r="N216"/>
    </row>
    <row r="217" spans="2:14" s="50" customFormat="1" hidden="1">
      <c r="B217" s="181" t="s">
        <v>211</v>
      </c>
      <c r="C217" s="649" t="e">
        <f>#REF!</f>
        <v>#REF!</v>
      </c>
      <c r="D217" s="183" t="e">
        <f>$C217*D203</f>
        <v>#REF!</v>
      </c>
      <c r="E217" s="183" t="e">
        <f t="shared" ref="E217:F217" si="43">$C217*E203</f>
        <v>#REF!</v>
      </c>
      <c r="F217" s="183" t="e">
        <f t="shared" si="43"/>
        <v>#REF!</v>
      </c>
      <c r="I217" s="5"/>
      <c r="J217" s="5"/>
      <c r="K217" s="548"/>
      <c r="L217"/>
      <c r="M217"/>
      <c r="N217"/>
    </row>
    <row r="218" spans="2:14" s="50" customFormat="1" ht="15.75" hidden="1">
      <c r="B218" s="186" t="s">
        <v>21</v>
      </c>
      <c r="C218" s="648"/>
      <c r="D218" s="187" t="e">
        <f>D217+D216+D215+D214+D212+D210+D208+D207+D206+D205</f>
        <v>#REF!</v>
      </c>
      <c r="E218" s="187" t="e">
        <f t="shared" ref="E218:F218" si="44">E217+E216+E215+E214+E212+E210+E208+E207+E206+E205</f>
        <v>#REF!</v>
      </c>
      <c r="F218" s="187" t="e">
        <f t="shared" si="44"/>
        <v>#REF!</v>
      </c>
      <c r="I218" s="5"/>
      <c r="J218" s="5"/>
      <c r="K218" s="548"/>
      <c r="L218"/>
      <c r="M218"/>
      <c r="N218"/>
    </row>
  </sheetData>
  <autoFilter ref="A25:M99"/>
  <mergeCells count="22">
    <mergeCell ref="O166:P166"/>
    <mergeCell ref="K135:M135"/>
    <mergeCell ref="A143:B143"/>
    <mergeCell ref="A145:B145"/>
    <mergeCell ref="A154:B154"/>
    <mergeCell ref="A146:B146"/>
    <mergeCell ref="D149:E149"/>
    <mergeCell ref="D169:E169"/>
    <mergeCell ref="A16:B16"/>
    <mergeCell ref="D10:E10"/>
    <mergeCell ref="D12:E12"/>
    <mergeCell ref="D13:E13"/>
    <mergeCell ref="A135:I135"/>
    <mergeCell ref="G21:H21"/>
    <mergeCell ref="I21:J21"/>
    <mergeCell ref="D21:D22"/>
    <mergeCell ref="E21:E22"/>
    <mergeCell ref="F21:F22"/>
    <mergeCell ref="B21:B22"/>
    <mergeCell ref="A144:B144"/>
    <mergeCell ref="A152:B152"/>
    <mergeCell ref="A153:B15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U219"/>
  <sheetViews>
    <sheetView topLeftCell="A6" workbookViewId="0">
      <selection activeCell="J6" sqref="J6"/>
    </sheetView>
  </sheetViews>
  <sheetFormatPr defaultRowHeight="15"/>
  <cols>
    <col min="1" max="1" width="6.28515625" customWidth="1"/>
    <col min="2" max="2" width="62.42578125" customWidth="1"/>
    <col min="3" max="3" width="12.85546875" style="548" hidden="1" customWidth="1"/>
    <col min="4" max="4" width="17" customWidth="1"/>
    <col min="5" max="5" width="16.5703125" customWidth="1"/>
    <col min="6" max="6" width="9.5703125" customWidth="1"/>
    <col min="7" max="7" width="15.42578125" style="5" customWidth="1"/>
    <col min="8" max="8" width="11.140625" style="5" customWidth="1"/>
    <col min="9" max="9" width="18.85546875" style="5" customWidth="1"/>
    <col min="10" max="10" width="17.140625" style="5" customWidth="1"/>
    <col min="11" max="11" width="6.5703125" style="548" hidden="1" customWidth="1"/>
    <col min="12" max="12" width="8.7109375" customWidth="1"/>
    <col min="13" max="13" width="10.28515625" customWidth="1"/>
  </cols>
  <sheetData>
    <row r="1" spans="1:12" hidden="1">
      <c r="B1" s="1" t="s">
        <v>0</v>
      </c>
      <c r="C1" s="592"/>
      <c r="D1" s="3"/>
      <c r="F1" s="4"/>
    </row>
    <row r="2" spans="1:12" hidden="1">
      <c r="B2" s="1" t="s">
        <v>1</v>
      </c>
      <c r="C2" s="592"/>
      <c r="D2" s="3"/>
      <c r="F2" s="4"/>
    </row>
    <row r="3" spans="1:12" hidden="1">
      <c r="B3" s="1" t="s">
        <v>2</v>
      </c>
      <c r="C3" s="592"/>
      <c r="D3" s="3"/>
      <c r="F3" s="4"/>
    </row>
    <row r="4" spans="1:12" hidden="1">
      <c r="C4" s="593"/>
      <c r="F4" s="4"/>
    </row>
    <row r="5" spans="1:12" hidden="1">
      <c r="C5" s="593"/>
      <c r="F5" s="4"/>
    </row>
    <row r="6" spans="1:12">
      <c r="C6" s="593"/>
      <c r="F6" s="4"/>
      <c r="J6" s="5" t="s">
        <v>440</v>
      </c>
    </row>
    <row r="7" spans="1:12" s="714" customFormat="1" ht="21.75" customHeight="1">
      <c r="A7" s="990" t="s">
        <v>398</v>
      </c>
      <c r="B7" s="990"/>
      <c r="C7" s="959"/>
      <c r="D7" s="990"/>
      <c r="E7" s="990"/>
      <c r="F7" s="990"/>
      <c r="G7" s="990"/>
      <c r="H7" s="990"/>
      <c r="I7" s="990"/>
      <c r="J7" s="990"/>
      <c r="K7" s="959"/>
      <c r="L7" s="990"/>
    </row>
    <row r="8" spans="1:12" ht="15.75" thickBot="1">
      <c r="A8" s="7"/>
      <c r="B8" s="7"/>
      <c r="C8" s="594"/>
      <c r="D8" s="9"/>
      <c r="E8" s="10"/>
      <c r="F8" s="11"/>
    </row>
    <row r="9" spans="1:12">
      <c r="A9" s="7"/>
      <c r="B9" s="7"/>
      <c r="C9" s="594"/>
      <c r="D9" s="515" t="s">
        <v>4</v>
      </c>
      <c r="E9" s="13"/>
      <c r="F9" s="14"/>
      <c r="G9" s="377" t="s">
        <v>326</v>
      </c>
      <c r="H9" s="378" t="s">
        <v>327</v>
      </c>
    </row>
    <row r="10" spans="1:12">
      <c r="A10" s="7"/>
      <c r="B10" s="7"/>
      <c r="C10" s="594"/>
      <c r="D10" s="956" t="s">
        <v>5</v>
      </c>
      <c r="E10" s="957"/>
      <c r="F10" s="15">
        <f>G10+H10</f>
        <v>31935.8</v>
      </c>
      <c r="G10" s="379">
        <v>17726.5</v>
      </c>
      <c r="H10" s="380">
        <v>14209.3</v>
      </c>
    </row>
    <row r="11" spans="1:12">
      <c r="A11" s="7"/>
      <c r="B11" s="7"/>
      <c r="C11" s="594"/>
      <c r="D11" s="515" t="s">
        <v>6</v>
      </c>
      <c r="E11" s="516"/>
      <c r="F11" s="15">
        <f>1382.5+74.4+200.3</f>
        <v>1657.2</v>
      </c>
      <c r="G11" s="379">
        <f>54.6+350.4+109.8+365.7+110.9</f>
        <v>991.4</v>
      </c>
      <c r="H11" s="380">
        <f>74.4+200.3+94.2+205.5+91.4</f>
        <v>665.80000000000007</v>
      </c>
    </row>
    <row r="12" spans="1:12" ht="17.25" customHeight="1" thickBot="1">
      <c r="A12" s="7"/>
      <c r="B12" s="7"/>
      <c r="C12" s="594"/>
      <c r="D12" s="956" t="s">
        <v>7</v>
      </c>
      <c r="E12" s="957"/>
      <c r="F12" s="15">
        <f>F11+F10</f>
        <v>33593</v>
      </c>
      <c r="G12" s="688">
        <f>G10+G11</f>
        <v>18717.900000000001</v>
      </c>
      <c r="H12" s="689">
        <f>H10+H11</f>
        <v>14875.099999999999</v>
      </c>
    </row>
    <row r="13" spans="1:12" ht="17.25" hidden="1" customHeight="1">
      <c r="A13" s="7"/>
      <c r="B13" s="7"/>
      <c r="C13" s="594"/>
      <c r="D13" s="995" t="s">
        <v>8</v>
      </c>
      <c r="E13" s="995"/>
      <c r="F13" s="686">
        <f>F25</f>
        <v>29.396130510820708</v>
      </c>
      <c r="G13" s="687">
        <f>G12*100/F12</f>
        <v>55.719643973446857</v>
      </c>
      <c r="H13" s="687">
        <f>H12*100/F12</f>
        <v>44.280356026553143</v>
      </c>
    </row>
    <row r="14" spans="1:12" ht="17.25" customHeight="1">
      <c r="A14" s="7"/>
      <c r="B14" s="7"/>
      <c r="C14" s="594"/>
      <c r="D14" s="759"/>
      <c r="E14" s="759"/>
      <c r="F14" s="686"/>
      <c r="G14" s="687"/>
      <c r="H14" s="687"/>
    </row>
    <row r="15" spans="1:12" ht="17.25" customHeight="1">
      <c r="A15" s="7"/>
      <c r="B15" s="7" t="s">
        <v>9</v>
      </c>
      <c r="C15" s="594"/>
      <c r="E15" s="10"/>
      <c r="F15" s="11"/>
    </row>
    <row r="16" spans="1:12" hidden="1">
      <c r="A16" s="17" t="s">
        <v>10</v>
      </c>
      <c r="B16" s="17" t="s">
        <v>11</v>
      </c>
      <c r="C16" s="595" t="s">
        <v>12</v>
      </c>
      <c r="D16" s="17" t="s">
        <v>13</v>
      </c>
      <c r="E16" s="305" t="s">
        <v>212</v>
      </c>
      <c r="F16" s="11"/>
    </row>
    <row r="17" spans="1:13" hidden="1">
      <c r="A17" s="17" t="s">
        <v>14</v>
      </c>
      <c r="B17" s="17"/>
      <c r="C17" s="595" t="s">
        <v>15</v>
      </c>
      <c r="D17" s="516" t="s">
        <v>15</v>
      </c>
      <c r="E17" s="19"/>
      <c r="F17" s="11"/>
    </row>
    <row r="18" spans="1:13" hidden="1">
      <c r="A18" s="17" t="s">
        <v>16</v>
      </c>
      <c r="B18" s="17" t="s">
        <v>17</v>
      </c>
      <c r="C18" s="595"/>
      <c r="D18" s="516"/>
      <c r="E18" s="19"/>
      <c r="F18" s="11"/>
    </row>
    <row r="19" spans="1:13" hidden="1">
      <c r="A19" s="17" t="s">
        <v>18</v>
      </c>
      <c r="B19" s="17" t="s">
        <v>19</v>
      </c>
      <c r="C19" s="596">
        <f>D19*12</f>
        <v>11265467.337209616</v>
      </c>
      <c r="D19" s="21">
        <f>F13*F10</f>
        <v>938788.94476746791</v>
      </c>
      <c r="E19" s="192">
        <f>D19*12</f>
        <v>11265467.337209616</v>
      </c>
      <c r="F19" s="11"/>
    </row>
    <row r="20" spans="1:13" hidden="1">
      <c r="A20" s="17"/>
      <c r="B20" s="17" t="s">
        <v>20</v>
      </c>
      <c r="C20" s="596">
        <f>D20*12</f>
        <v>584583.20979038498</v>
      </c>
      <c r="D20" s="21">
        <f>F13*F11</f>
        <v>48715.267482532079</v>
      </c>
      <c r="E20" s="192">
        <f>D20*12</f>
        <v>584583.20979038498</v>
      </c>
      <c r="F20" s="11"/>
    </row>
    <row r="21" spans="1:13" ht="19.5" hidden="1" customHeight="1" thickBot="1">
      <c r="A21" s="368"/>
      <c r="B21" s="368" t="s">
        <v>21</v>
      </c>
      <c r="C21" s="597">
        <f>C19+C20</f>
        <v>11850050.547</v>
      </c>
      <c r="D21" s="369">
        <f>D19+D20</f>
        <v>987504.21224999998</v>
      </c>
      <c r="E21" s="370">
        <f>D21*12</f>
        <v>11850050.547</v>
      </c>
      <c r="F21" s="11"/>
      <c r="G21" s="308">
        <f>D25-G25</f>
        <v>5248415.7457662979</v>
      </c>
      <c r="H21" s="308"/>
      <c r="I21" s="308">
        <f>G21-I25</f>
        <v>-294.90000000037253</v>
      </c>
      <c r="J21" s="308"/>
    </row>
    <row r="22" spans="1:13" ht="19.5" customHeight="1" thickBot="1">
      <c r="A22" s="496"/>
      <c r="B22" s="496"/>
      <c r="C22" s="760"/>
      <c r="D22" s="492"/>
      <c r="E22" s="708"/>
      <c r="F22" s="11"/>
      <c r="G22" s="308"/>
      <c r="H22" s="308"/>
      <c r="I22" s="308"/>
      <c r="J22" s="308"/>
    </row>
    <row r="23" spans="1:13" ht="30" customHeight="1" thickBot="1">
      <c r="A23" s="756"/>
      <c r="B23" s="970" t="s">
        <v>22</v>
      </c>
      <c r="C23" s="598"/>
      <c r="D23" s="964" t="s">
        <v>323</v>
      </c>
      <c r="E23" s="966" t="s">
        <v>324</v>
      </c>
      <c r="F23" s="968" t="s">
        <v>24</v>
      </c>
      <c r="G23" s="960" t="s">
        <v>25</v>
      </c>
      <c r="H23" s="961"/>
      <c r="I23" s="962" t="s">
        <v>325</v>
      </c>
      <c r="J23" s="963"/>
      <c r="K23" s="549"/>
      <c r="L23" s="325"/>
    </row>
    <row r="24" spans="1:13" ht="63" customHeight="1" thickBot="1">
      <c r="A24" s="754"/>
      <c r="B24" s="971"/>
      <c r="C24" s="599" t="s">
        <v>23</v>
      </c>
      <c r="D24" s="965"/>
      <c r="E24" s="967"/>
      <c r="F24" s="969"/>
      <c r="G24" s="375" t="s">
        <v>323</v>
      </c>
      <c r="H24" s="333" t="s">
        <v>24</v>
      </c>
      <c r="I24" s="413" t="s">
        <v>323</v>
      </c>
      <c r="J24" s="372" t="s">
        <v>24</v>
      </c>
      <c r="K24" s="550" t="s">
        <v>214</v>
      </c>
      <c r="L24" s="550" t="s">
        <v>230</v>
      </c>
    </row>
    <row r="25" spans="1:13" ht="26.25" customHeight="1" thickBot="1">
      <c r="A25" s="755"/>
      <c r="B25" s="334" t="s">
        <v>370</v>
      </c>
      <c r="C25" s="600"/>
      <c r="D25" s="42">
        <f t="shared" ref="D25:E25" si="0">D45+D48+D52+D57+D58+D59+D60+D61+D62+D76+D80+D82+D83+D86+D87+D88+D89+D91+D92+D93+D94+D95+D97</f>
        <v>11850050.546999998</v>
      </c>
      <c r="E25" s="42">
        <f t="shared" si="0"/>
        <v>987504.2122500001</v>
      </c>
      <c r="F25" s="42">
        <f>F45+F48+F52+F57+F58+F59+F60+F61+F62+F76+F80+F82+F83+F86+F87+F88+F89+F91+F92+F93+F94+F95+F97</f>
        <v>29.396130510820708</v>
      </c>
      <c r="G25" s="42">
        <f t="shared" ref="G25:J25" si="1">G45+G48+G52+G57+G58+G59+G60+G61+G62+G76+G80+G82+G83+G86+G87+G88+G89+G91+G92+G93+G94+G95+G97</f>
        <v>6601634.8012337005</v>
      </c>
      <c r="H25" s="42">
        <f t="shared" si="1"/>
        <v>29.401681363978241</v>
      </c>
      <c r="I25" s="42">
        <f t="shared" si="1"/>
        <v>5248710.6457662983</v>
      </c>
      <c r="J25" s="42">
        <f t="shared" si="1"/>
        <v>29.404343756603879</v>
      </c>
      <c r="K25" s="551"/>
      <c r="L25" s="179"/>
      <c r="M25" s="3"/>
    </row>
    <row r="26" spans="1:13" ht="11.25" customHeight="1" thickBot="1">
      <c r="A26" s="28"/>
      <c r="B26" s="338"/>
      <c r="C26" s="602"/>
      <c r="D26" s="339"/>
      <c r="E26" s="339"/>
      <c r="F26" s="340"/>
      <c r="G26" s="341"/>
      <c r="H26" s="415"/>
      <c r="I26" s="341"/>
      <c r="J26" s="341"/>
      <c r="K26" s="552"/>
      <c r="L26" s="342"/>
    </row>
    <row r="27" spans="1:13" ht="18" hidden="1" customHeight="1" thickBot="1">
      <c r="A27" s="326"/>
      <c r="B27" s="327" t="s">
        <v>256</v>
      </c>
      <c r="C27" s="603"/>
      <c r="D27" s="328">
        <f>SUM(D28:D44)</f>
        <v>3927850</v>
      </c>
      <c r="E27" s="328">
        <f t="shared" ref="E27:J27" si="2">SUM(E28:E44)</f>
        <v>327320.83333333337</v>
      </c>
      <c r="F27" s="328">
        <f t="shared" si="2"/>
        <v>9.7437214102144303</v>
      </c>
      <c r="G27" s="328">
        <f t="shared" si="2"/>
        <v>1599480.7399999998</v>
      </c>
      <c r="H27" s="328">
        <f t="shared" si="2"/>
        <v>7.1209944313553679</v>
      </c>
      <c r="I27" s="328">
        <f t="shared" si="2"/>
        <v>2328369.2600000002</v>
      </c>
      <c r="J27" s="585">
        <f t="shared" si="2"/>
        <v>13.043997799454571</v>
      </c>
      <c r="K27" s="553"/>
      <c r="L27" s="419" t="s">
        <v>307</v>
      </c>
    </row>
    <row r="28" spans="1:13" ht="30.75" hidden="1" customHeight="1">
      <c r="A28" s="43" t="s">
        <v>231</v>
      </c>
      <c r="B28" s="44" t="s">
        <v>253</v>
      </c>
      <c r="C28" s="604" t="s">
        <v>30</v>
      </c>
      <c r="D28" s="347">
        <v>360000</v>
      </c>
      <c r="E28" s="47">
        <f t="shared" ref="E28:E44" si="3">D28/12</f>
        <v>30000</v>
      </c>
      <c r="F28" s="351">
        <f>E28/F12</f>
        <v>0.89304319352246009</v>
      </c>
      <c r="G28" s="323">
        <f t="shared" ref="G28:G40" si="4">D28*55.4%</f>
        <v>199439.99999999997</v>
      </c>
      <c r="H28" s="416">
        <f>G28/G12/12</f>
        <v>0.88792011924414582</v>
      </c>
      <c r="I28" s="348">
        <f t="shared" ref="I28:I40" si="5">D28-G28</f>
        <v>160560.00000000003</v>
      </c>
      <c r="J28" s="381">
        <f>I28/H$12/12</f>
        <v>0.89948975132940312</v>
      </c>
      <c r="K28" s="556"/>
      <c r="L28" s="420"/>
      <c r="M28" s="50"/>
    </row>
    <row r="29" spans="1:13" ht="30.75" hidden="1" customHeight="1">
      <c r="A29" s="51" t="s">
        <v>29</v>
      </c>
      <c r="B29" s="52" t="s">
        <v>255</v>
      </c>
      <c r="C29" s="605" t="s">
        <v>32</v>
      </c>
      <c r="D29" s="54">
        <v>40000</v>
      </c>
      <c r="E29" s="47">
        <f t="shared" si="3"/>
        <v>3333.3333333333335</v>
      </c>
      <c r="F29" s="352">
        <f>E29/F12</f>
        <v>9.9227021502495558E-2</v>
      </c>
      <c r="G29" s="323">
        <f t="shared" si="4"/>
        <v>22159.999999999996</v>
      </c>
      <c r="H29" s="416">
        <f>G29/G12/12</f>
        <v>9.8657791027127309E-2</v>
      </c>
      <c r="I29" s="323">
        <f t="shared" si="5"/>
        <v>17840.000000000004</v>
      </c>
      <c r="J29" s="381">
        <f t="shared" ref="J29:J44" si="6">I29/H$12/12</f>
        <v>9.9943305703267024E-2</v>
      </c>
      <c r="K29" s="584" t="s">
        <v>89</v>
      </c>
      <c r="L29" s="421"/>
      <c r="M29" s="50"/>
    </row>
    <row r="30" spans="1:13" ht="26.25" hidden="1" customHeight="1">
      <c r="A30" s="51" t="s">
        <v>31</v>
      </c>
      <c r="B30" s="52" t="s">
        <v>254</v>
      </c>
      <c r="C30" s="589" t="s">
        <v>34</v>
      </c>
      <c r="D30" s="54">
        <v>60000</v>
      </c>
      <c r="E30" s="47">
        <f t="shared" si="3"/>
        <v>5000</v>
      </c>
      <c r="F30" s="352">
        <f>E30/F12</f>
        <v>0.14884053225374333</v>
      </c>
      <c r="G30" s="323">
        <f>D30*55.4%</f>
        <v>33239.999999999993</v>
      </c>
      <c r="H30" s="416">
        <f>G30/G$12/12</f>
        <v>0.14798668654069094</v>
      </c>
      <c r="I30" s="323">
        <f>D30-G30</f>
        <v>26760.000000000007</v>
      </c>
      <c r="J30" s="381">
        <f t="shared" si="6"/>
        <v>0.14991495855490053</v>
      </c>
      <c r="K30" s="558" t="s">
        <v>90</v>
      </c>
      <c r="L30" s="422"/>
    </row>
    <row r="31" spans="1:13" ht="32.25" hidden="1" customHeight="1">
      <c r="A31" s="56" t="s">
        <v>33</v>
      </c>
      <c r="B31" s="52" t="s">
        <v>36</v>
      </c>
      <c r="C31" s="606"/>
      <c r="D31" s="54">
        <v>45000</v>
      </c>
      <c r="E31" s="47">
        <f t="shared" si="3"/>
        <v>3750</v>
      </c>
      <c r="F31" s="352">
        <f>E31/F12</f>
        <v>0.11163039919030751</v>
      </c>
      <c r="G31" s="323">
        <f t="shared" si="4"/>
        <v>24929.999999999996</v>
      </c>
      <c r="H31" s="416">
        <f t="shared" ref="H31:H44" si="7">G31/G$12/12</f>
        <v>0.11099001490551823</v>
      </c>
      <c r="I31" s="323">
        <f t="shared" si="5"/>
        <v>20070.000000000004</v>
      </c>
      <c r="J31" s="381">
        <f t="shared" si="6"/>
        <v>0.11243621891617539</v>
      </c>
      <c r="K31" s="558"/>
      <c r="L31" s="422"/>
    </row>
    <row r="32" spans="1:13" ht="25.5" hidden="1" customHeight="1">
      <c r="A32" s="51" t="s">
        <v>35</v>
      </c>
      <c r="B32" s="52" t="s">
        <v>257</v>
      </c>
      <c r="C32" s="589" t="s">
        <v>38</v>
      </c>
      <c r="D32" s="54">
        <v>45000</v>
      </c>
      <c r="E32" s="47">
        <f t="shared" si="3"/>
        <v>3750</v>
      </c>
      <c r="F32" s="352">
        <f>E32/F12</f>
        <v>0.11163039919030751</v>
      </c>
      <c r="G32" s="323">
        <f t="shared" si="4"/>
        <v>24929.999999999996</v>
      </c>
      <c r="H32" s="416">
        <f t="shared" si="7"/>
        <v>0.11099001490551823</v>
      </c>
      <c r="I32" s="323">
        <f t="shared" si="5"/>
        <v>20070.000000000004</v>
      </c>
      <c r="J32" s="381">
        <f t="shared" si="6"/>
        <v>0.11243621891617539</v>
      </c>
      <c r="K32" s="558"/>
      <c r="L32" s="422"/>
    </row>
    <row r="33" spans="1:12" ht="25.5" hidden="1" customHeight="1">
      <c r="A33" s="51" t="s">
        <v>37</v>
      </c>
      <c r="B33" s="44" t="s">
        <v>262</v>
      </c>
      <c r="C33" s="589" t="s">
        <v>40</v>
      </c>
      <c r="D33" s="57">
        <v>45000</v>
      </c>
      <c r="E33" s="47">
        <f t="shared" si="3"/>
        <v>3750</v>
      </c>
      <c r="F33" s="352">
        <f>E33/F12</f>
        <v>0.11163039919030751</v>
      </c>
      <c r="G33" s="323">
        <f t="shared" si="4"/>
        <v>24929.999999999996</v>
      </c>
      <c r="H33" s="416">
        <f t="shared" si="7"/>
        <v>0.11099001490551823</v>
      </c>
      <c r="I33" s="323">
        <f t="shared" si="5"/>
        <v>20070.000000000004</v>
      </c>
      <c r="J33" s="381">
        <f t="shared" si="6"/>
        <v>0.11243621891617539</v>
      </c>
      <c r="K33" s="558" t="s">
        <v>232</v>
      </c>
      <c r="L33" s="422"/>
    </row>
    <row r="34" spans="1:12" ht="21.75" hidden="1" customHeight="1">
      <c r="A34" s="51" t="s">
        <v>39</v>
      </c>
      <c r="B34" s="113" t="s">
        <v>223</v>
      </c>
      <c r="C34" s="607"/>
      <c r="D34" s="117">
        <v>81000</v>
      </c>
      <c r="E34" s="117">
        <f t="shared" si="3"/>
        <v>6750</v>
      </c>
      <c r="F34" s="587">
        <f>E34/F12</f>
        <v>0.20093471854255351</v>
      </c>
      <c r="G34" s="341"/>
      <c r="H34" s="586">
        <f t="shared" si="7"/>
        <v>0</v>
      </c>
      <c r="I34" s="38">
        <f t="shared" si="5"/>
        <v>81000</v>
      </c>
      <c r="J34" s="381">
        <f t="shared" si="6"/>
        <v>0.45377846199353283</v>
      </c>
      <c r="K34" s="557" t="s">
        <v>88</v>
      </c>
      <c r="L34" s="423"/>
    </row>
    <row r="35" spans="1:12" ht="21.75" hidden="1" customHeight="1">
      <c r="A35" s="345" t="s">
        <v>86</v>
      </c>
      <c r="B35" s="221" t="s">
        <v>310</v>
      </c>
      <c r="C35" s="608"/>
      <c r="D35" s="117">
        <v>100000</v>
      </c>
      <c r="E35" s="117">
        <f t="shared" si="3"/>
        <v>8333.3333333333339</v>
      </c>
      <c r="F35" s="588">
        <f>E35/F12</f>
        <v>0.24806755375623893</v>
      </c>
      <c r="G35" s="348">
        <f>D35</f>
        <v>100000</v>
      </c>
      <c r="H35" s="416">
        <f t="shared" si="7"/>
        <v>0.44520663820905831</v>
      </c>
      <c r="I35" s="348"/>
      <c r="J35" s="381">
        <f t="shared" si="6"/>
        <v>0</v>
      </c>
      <c r="K35" s="556" t="s">
        <v>87</v>
      </c>
      <c r="L35" s="424"/>
    </row>
    <row r="36" spans="1:12" ht="21.75" hidden="1" customHeight="1">
      <c r="A36" s="345"/>
      <c r="B36" s="113" t="s">
        <v>318</v>
      </c>
      <c r="C36" s="609"/>
      <c r="D36" s="61">
        <f>I36</f>
        <v>202000</v>
      </c>
      <c r="E36" s="336">
        <f t="shared" si="3"/>
        <v>16833.333333333332</v>
      </c>
      <c r="F36" s="353">
        <f>E36/F12</f>
        <v>0.50109645858760254</v>
      </c>
      <c r="G36" s="239"/>
      <c r="H36" s="416">
        <f t="shared" si="7"/>
        <v>0</v>
      </c>
      <c r="I36" s="239">
        <f>102000+(100000)</f>
        <v>202000</v>
      </c>
      <c r="J36" s="381">
        <f t="shared" si="6"/>
        <v>1.131645053366588</v>
      </c>
      <c r="K36" s="558"/>
      <c r="L36" s="422"/>
    </row>
    <row r="37" spans="1:12" ht="33.75" hidden="1" customHeight="1">
      <c r="A37" s="346" t="s">
        <v>87</v>
      </c>
      <c r="B37" s="63" t="s">
        <v>261</v>
      </c>
      <c r="C37" s="610"/>
      <c r="D37" s="61">
        <v>200000</v>
      </c>
      <c r="E37" s="336">
        <f t="shared" si="3"/>
        <v>16666.666666666668</v>
      </c>
      <c r="F37" s="353">
        <f>E37/F12</f>
        <v>0.49613510751247786</v>
      </c>
      <c r="G37" s="239"/>
      <c r="H37" s="416">
        <f t="shared" si="7"/>
        <v>0</v>
      </c>
      <c r="I37" s="239">
        <f>D37-G37</f>
        <v>200000</v>
      </c>
      <c r="J37" s="381">
        <f t="shared" si="6"/>
        <v>1.120440646897612</v>
      </c>
      <c r="K37" s="558" t="s">
        <v>222</v>
      </c>
      <c r="L37" s="422"/>
    </row>
    <row r="38" spans="1:12" ht="21.75" hidden="1" customHeight="1">
      <c r="A38" s="346"/>
      <c r="B38" s="63" t="s">
        <v>319</v>
      </c>
      <c r="C38" s="610"/>
      <c r="D38" s="61">
        <f>I38</f>
        <v>133000</v>
      </c>
      <c r="E38" s="336">
        <f t="shared" si="3"/>
        <v>11083.333333333334</v>
      </c>
      <c r="F38" s="353">
        <f>E38/F12</f>
        <v>0.32992984649579776</v>
      </c>
      <c r="G38" s="239"/>
      <c r="H38" s="416">
        <f t="shared" si="7"/>
        <v>0</v>
      </c>
      <c r="I38" s="239">
        <v>133000</v>
      </c>
      <c r="J38" s="381">
        <f t="shared" si="6"/>
        <v>0.74509303018691198</v>
      </c>
      <c r="K38" s="558"/>
      <c r="L38" s="422"/>
    </row>
    <row r="39" spans="1:12" ht="21.75" hidden="1" customHeight="1">
      <c r="A39" s="346" t="s">
        <v>221</v>
      </c>
      <c r="B39" s="63" t="s">
        <v>314</v>
      </c>
      <c r="C39" s="610"/>
      <c r="D39" s="61">
        <f>G39+I39</f>
        <v>65000</v>
      </c>
      <c r="E39" s="336">
        <f t="shared" si="3"/>
        <v>5416.666666666667</v>
      </c>
      <c r="F39" s="353">
        <f>E39/F12</f>
        <v>0.1612439099415553</v>
      </c>
      <c r="G39" s="239">
        <v>45000</v>
      </c>
      <c r="H39" s="416">
        <f t="shared" si="7"/>
        <v>0.20034298719407626</v>
      </c>
      <c r="I39" s="239">
        <v>20000</v>
      </c>
      <c r="J39" s="381">
        <f t="shared" si="6"/>
        <v>0.11204406468976119</v>
      </c>
      <c r="K39" s="558" t="s">
        <v>221</v>
      </c>
      <c r="L39" s="422"/>
    </row>
    <row r="40" spans="1:12" ht="27" hidden="1" customHeight="1">
      <c r="A40" s="85" t="s">
        <v>41</v>
      </c>
      <c r="B40" s="337" t="s">
        <v>45</v>
      </c>
      <c r="C40" s="611"/>
      <c r="D40" s="54">
        <f>45000*2*1.305*12</f>
        <v>1409400</v>
      </c>
      <c r="E40" s="336">
        <f t="shared" si="3"/>
        <v>117450</v>
      </c>
      <c r="F40" s="353">
        <f>E40/F12</f>
        <v>3.4962641026404309</v>
      </c>
      <c r="G40" s="364">
        <f t="shared" si="4"/>
        <v>780807.59999999986</v>
      </c>
      <c r="H40" s="416">
        <f t="shared" si="7"/>
        <v>3.4762072668408308</v>
      </c>
      <c r="I40" s="364">
        <f t="shared" si="5"/>
        <v>628592.40000000014</v>
      </c>
      <c r="J40" s="381">
        <f t="shared" si="6"/>
        <v>3.5215023764546132</v>
      </c>
      <c r="K40" s="558"/>
      <c r="L40" s="422"/>
    </row>
    <row r="41" spans="1:12" ht="18" hidden="1" customHeight="1">
      <c r="A41" s="85" t="s">
        <v>42</v>
      </c>
      <c r="B41" s="337" t="s">
        <v>309</v>
      </c>
      <c r="C41" s="611"/>
      <c r="D41" s="54">
        <v>225000</v>
      </c>
      <c r="E41" s="336">
        <f t="shared" si="3"/>
        <v>18750</v>
      </c>
      <c r="F41" s="353">
        <f>E41/F12</f>
        <v>0.55815199595153753</v>
      </c>
      <c r="G41" s="364"/>
      <c r="H41" s="416">
        <f t="shared" si="7"/>
        <v>0</v>
      </c>
      <c r="I41" s="364">
        <v>225000</v>
      </c>
      <c r="J41" s="381">
        <f t="shared" si="6"/>
        <v>1.2604957277598134</v>
      </c>
      <c r="K41" s="558"/>
      <c r="L41" s="422"/>
    </row>
    <row r="42" spans="1:12" ht="27" hidden="1" customHeight="1">
      <c r="A42" s="85" t="s">
        <v>43</v>
      </c>
      <c r="B42" s="499" t="s">
        <v>275</v>
      </c>
      <c r="C42" s="612"/>
      <c r="D42" s="54">
        <f>45000*2*1.305</f>
        <v>117450</v>
      </c>
      <c r="E42" s="336">
        <f t="shared" si="3"/>
        <v>9787.5</v>
      </c>
      <c r="F42" s="353">
        <f>E42/F12</f>
        <v>0.29135534188670259</v>
      </c>
      <c r="G42" s="364">
        <f>D42*55.72%</f>
        <v>65443.140000000007</v>
      </c>
      <c r="H42" s="416">
        <f t="shared" si="7"/>
        <v>0.29135720353244754</v>
      </c>
      <c r="I42" s="364">
        <f t="shared" ref="I42" si="8">D42-G42</f>
        <v>52006.859999999993</v>
      </c>
      <c r="J42" s="381">
        <f t="shared" si="6"/>
        <v>0.29135299930756769</v>
      </c>
      <c r="K42" s="558"/>
      <c r="L42" s="422"/>
    </row>
    <row r="43" spans="1:12" ht="27" hidden="1" customHeight="1">
      <c r="A43" s="85" t="s">
        <v>44</v>
      </c>
      <c r="B43" s="337" t="s">
        <v>335</v>
      </c>
      <c r="C43" s="611"/>
      <c r="D43" s="76">
        <f>I43</f>
        <v>300000</v>
      </c>
      <c r="E43" s="356">
        <f t="shared" si="3"/>
        <v>25000</v>
      </c>
      <c r="F43" s="357">
        <f>E43/F12</f>
        <v>0.7442026612687167</v>
      </c>
      <c r="G43" s="412">
        <v>0</v>
      </c>
      <c r="H43" s="416">
        <v>0</v>
      </c>
      <c r="I43" s="412">
        <f>100000*3</f>
        <v>300000</v>
      </c>
      <c r="J43" s="381">
        <f t="shared" si="6"/>
        <v>1.6806609703464179</v>
      </c>
      <c r="K43" s="557"/>
      <c r="L43" s="423"/>
    </row>
    <row r="44" spans="1:12" ht="27" hidden="1" customHeight="1" thickBot="1">
      <c r="A44" s="85" t="s">
        <v>44</v>
      </c>
      <c r="B44" s="337" t="s">
        <v>322</v>
      </c>
      <c r="C44" s="611"/>
      <c r="D44" s="76">
        <v>500000</v>
      </c>
      <c r="E44" s="356">
        <f t="shared" si="3"/>
        <v>41666.666666666664</v>
      </c>
      <c r="F44" s="357">
        <f>E44/F12</f>
        <v>1.2403377687811945</v>
      </c>
      <c r="G44" s="412">
        <f>D44*55.72%</f>
        <v>278600</v>
      </c>
      <c r="H44" s="416">
        <f t="shared" si="7"/>
        <v>1.2403456940504365</v>
      </c>
      <c r="I44" s="358">
        <f>D44-G44</f>
        <v>221400</v>
      </c>
      <c r="J44" s="543">
        <f t="shared" si="6"/>
        <v>1.2403277961156565</v>
      </c>
      <c r="K44" s="554"/>
      <c r="L44" s="423"/>
    </row>
    <row r="45" spans="1:12" s="7" customFormat="1" ht="18" thickBot="1">
      <c r="A45" s="757" t="s">
        <v>18</v>
      </c>
      <c r="B45" s="743" t="s">
        <v>371</v>
      </c>
      <c r="C45" s="613"/>
      <c r="D45" s="68">
        <f>SUM(D46:D47)</f>
        <v>1404995</v>
      </c>
      <c r="E45" s="361">
        <f t="shared" ref="E45:I45" si="9">SUM(E46:E47)</f>
        <v>117082.91666666667</v>
      </c>
      <c r="F45" s="69">
        <f t="shared" si="9"/>
        <v>3.4853367268974687</v>
      </c>
      <c r="G45" s="361">
        <f t="shared" si="9"/>
        <v>782577.21400000004</v>
      </c>
      <c r="H45" s="254">
        <v>3.49</v>
      </c>
      <c r="I45" s="361">
        <f t="shared" si="9"/>
        <v>622417.78599999996</v>
      </c>
      <c r="J45" s="546">
        <f>SUM(J46:J47)</f>
        <v>3.4869109339320969</v>
      </c>
      <c r="K45" s="555"/>
      <c r="L45" s="425" t="s">
        <v>274</v>
      </c>
    </row>
    <row r="46" spans="1:12" s="190" customFormat="1" ht="29.25" hidden="1" customHeight="1">
      <c r="A46" s="197" t="s">
        <v>42</v>
      </c>
      <c r="B46" s="44" t="s">
        <v>49</v>
      </c>
      <c r="C46" s="591" t="s">
        <v>50</v>
      </c>
      <c r="D46" s="57">
        <f>117045*11+112500</f>
        <v>1399995</v>
      </c>
      <c r="E46" s="47">
        <f>D46/12</f>
        <v>116666.25</v>
      </c>
      <c r="F46" s="354">
        <f>E46/F12</f>
        <v>3.4729333492096566</v>
      </c>
      <c r="G46" s="323">
        <f>D46*55.72%</f>
        <v>780077.21400000004</v>
      </c>
      <c r="H46" s="416">
        <f>G46/G$12/12</f>
        <v>3.472955539884282</v>
      </c>
      <c r="I46" s="323">
        <f>D46-G46</f>
        <v>619917.78599999996</v>
      </c>
      <c r="J46" s="545">
        <f>I46/H$12/12</f>
        <v>3.4729054258458767</v>
      </c>
      <c r="K46" s="556"/>
      <c r="L46" s="426"/>
    </row>
    <row r="47" spans="1:12" s="190" customFormat="1" ht="30" hidden="1" customHeight="1" thickBot="1">
      <c r="A47" s="199" t="s">
        <v>43</v>
      </c>
      <c r="B47" s="200" t="s">
        <v>52</v>
      </c>
      <c r="C47" s="590" t="s">
        <v>38</v>
      </c>
      <c r="D47" s="122">
        <v>5000</v>
      </c>
      <c r="E47" s="324">
        <f>D47/12</f>
        <v>416.66666666666669</v>
      </c>
      <c r="F47" s="355">
        <f>E47/F12</f>
        <v>1.2403377687811945E-2</v>
      </c>
      <c r="G47" s="341">
        <v>2500</v>
      </c>
      <c r="H47" s="416">
        <f>G47/G$12/12</f>
        <v>1.1130165955226458E-2</v>
      </c>
      <c r="I47" s="341">
        <v>2500</v>
      </c>
      <c r="J47" s="547">
        <f>I47/H$12/12</f>
        <v>1.4005508086220149E-2</v>
      </c>
      <c r="K47" s="557"/>
      <c r="L47" s="427"/>
    </row>
    <row r="48" spans="1:12" s="7" customFormat="1" ht="19.5" customHeight="1" thickBot="1">
      <c r="A48" s="65" t="s">
        <v>374</v>
      </c>
      <c r="B48" s="744" t="s">
        <v>372</v>
      </c>
      <c r="C48" s="600"/>
      <c r="D48" s="68">
        <f>SUM(D49:D51)</f>
        <v>522000</v>
      </c>
      <c r="E48" s="68">
        <f t="shared" ref="E48:I48" si="10">SUM(E49:E51)</f>
        <v>43500</v>
      </c>
      <c r="F48" s="69">
        <f t="shared" si="10"/>
        <v>1.2949126306075671</v>
      </c>
      <c r="G48" s="290">
        <f t="shared" si="10"/>
        <v>290858.40000000002</v>
      </c>
      <c r="H48" s="254">
        <f>SUM(H49:H51)</f>
        <v>1.2949209045886558</v>
      </c>
      <c r="I48" s="361">
        <f t="shared" si="10"/>
        <v>231141.59999999998</v>
      </c>
      <c r="J48" s="546">
        <f>SUM(J49:J51)</f>
        <v>1.2949022191447452</v>
      </c>
      <c r="K48" s="555"/>
      <c r="L48" s="425" t="s">
        <v>274</v>
      </c>
    </row>
    <row r="49" spans="1:15" ht="33.75" hidden="1" customHeight="1">
      <c r="A49" s="43" t="s">
        <v>44</v>
      </c>
      <c r="B49" s="44" t="s">
        <v>55</v>
      </c>
      <c r="C49" s="591" t="s">
        <v>56</v>
      </c>
      <c r="D49" s="57">
        <f>36000*12</f>
        <v>432000</v>
      </c>
      <c r="E49" s="47">
        <f t="shared" ref="E49:E97" si="11">D49/12</f>
        <v>36000</v>
      </c>
      <c r="F49" s="48">
        <f>E49/F12</f>
        <v>1.0716518322269522</v>
      </c>
      <c r="G49" s="49">
        <f>D49*55.72%</f>
        <v>240710.40000000002</v>
      </c>
      <c r="H49" s="416">
        <f>G49/G$12/12</f>
        <v>1.0716586796595773</v>
      </c>
      <c r="I49" s="323">
        <f t="shared" ref="I49:I55" si="12">D49-G49</f>
        <v>191289.59999999998</v>
      </c>
      <c r="J49" s="545">
        <f t="shared" ref="J49:J63" si="13">I49/H$12/12</f>
        <v>1.0716432158439271</v>
      </c>
      <c r="K49" s="556"/>
      <c r="L49" s="424"/>
    </row>
    <row r="50" spans="1:15" ht="21.75" hidden="1" customHeight="1">
      <c r="A50" s="51" t="s">
        <v>46</v>
      </c>
      <c r="B50" s="52" t="s">
        <v>58</v>
      </c>
      <c r="C50" s="589" t="s">
        <v>59</v>
      </c>
      <c r="D50" s="61">
        <v>30000</v>
      </c>
      <c r="E50" s="47">
        <f>D50/12</f>
        <v>2500</v>
      </c>
      <c r="F50" s="48">
        <f>E50/F12</f>
        <v>7.4420266126871665E-2</v>
      </c>
      <c r="G50" s="49">
        <f>D50*55.72%</f>
        <v>16716</v>
      </c>
      <c r="H50" s="416">
        <f>G50/G$12/12</f>
        <v>7.4420741643026186E-2</v>
      </c>
      <c r="I50" s="323">
        <f>D50-G50</f>
        <v>13284</v>
      </c>
      <c r="J50" s="544">
        <f t="shared" si="13"/>
        <v>7.4419667766939382E-2</v>
      </c>
      <c r="K50" s="558"/>
      <c r="L50" s="422"/>
    </row>
    <row r="51" spans="1:15" ht="19.5" hidden="1" customHeight="1" thickBot="1">
      <c r="A51" s="85" t="s">
        <v>48</v>
      </c>
      <c r="B51" s="205" t="s">
        <v>61</v>
      </c>
      <c r="C51" s="590" t="s">
        <v>59</v>
      </c>
      <c r="D51" s="122">
        <v>60000</v>
      </c>
      <c r="E51" s="324">
        <f t="shared" si="11"/>
        <v>5000</v>
      </c>
      <c r="F51" s="196">
        <f>E51/F12</f>
        <v>0.14884053225374333</v>
      </c>
      <c r="G51" s="78">
        <f>D51*55.72%</f>
        <v>33432</v>
      </c>
      <c r="H51" s="417">
        <f>G51/G$12/12</f>
        <v>0.14884148328605237</v>
      </c>
      <c r="I51" s="341">
        <f t="shared" si="12"/>
        <v>26568</v>
      </c>
      <c r="J51" s="547">
        <f t="shared" si="13"/>
        <v>0.14883933553387876</v>
      </c>
      <c r="K51" s="557"/>
      <c r="L51" s="423"/>
    </row>
    <row r="52" spans="1:15" ht="18.75" customHeight="1" thickBot="1">
      <c r="A52" s="65" t="s">
        <v>375</v>
      </c>
      <c r="B52" s="203" t="s">
        <v>373</v>
      </c>
      <c r="C52" s="600"/>
      <c r="D52" s="68">
        <f t="shared" ref="D52:J52" si="14">SUM(D53:D55)</f>
        <v>649420</v>
      </c>
      <c r="E52" s="68">
        <f t="shared" si="14"/>
        <v>54118.333333333336</v>
      </c>
      <c r="F52" s="69">
        <f t="shared" si="14"/>
        <v>1.6110003076037667</v>
      </c>
      <c r="G52" s="290">
        <f t="shared" si="14"/>
        <v>361856.82400000002</v>
      </c>
      <c r="H52" s="254">
        <f t="shared" si="14"/>
        <v>1.6110106012604688</v>
      </c>
      <c r="I52" s="361">
        <f t="shared" si="14"/>
        <v>287563.17599999998</v>
      </c>
      <c r="J52" s="546">
        <f t="shared" si="14"/>
        <v>1.6109873547068592</v>
      </c>
      <c r="K52" s="559"/>
      <c r="L52" s="500" t="s">
        <v>274</v>
      </c>
    </row>
    <row r="53" spans="1:15" ht="21.75" hidden="1" customHeight="1">
      <c r="A53" s="43" t="s">
        <v>54</v>
      </c>
      <c r="B53" s="44" t="s">
        <v>64</v>
      </c>
      <c r="C53" s="591"/>
      <c r="D53" s="57">
        <v>40000</v>
      </c>
      <c r="E53" s="47">
        <f t="shared" si="11"/>
        <v>3333.3333333333335</v>
      </c>
      <c r="F53" s="48">
        <f>E53/F12</f>
        <v>9.9227021502495558E-2</v>
      </c>
      <c r="G53" s="49">
        <f>D53*55.72%</f>
        <v>22288</v>
      </c>
      <c r="H53" s="416">
        <f>G53/G$12/12</f>
        <v>9.9227655524034911E-2</v>
      </c>
      <c r="I53" s="323">
        <f t="shared" si="12"/>
        <v>17712</v>
      </c>
      <c r="J53" s="545">
        <f t="shared" si="13"/>
        <v>9.9226223689252532E-2</v>
      </c>
      <c r="K53" s="556" t="s">
        <v>233</v>
      </c>
      <c r="L53" s="424"/>
    </row>
    <row r="54" spans="1:15" ht="25.5" hidden="1" customHeight="1">
      <c r="A54" s="51" t="s">
        <v>57</v>
      </c>
      <c r="B54" s="63" t="s">
        <v>65</v>
      </c>
      <c r="C54" s="610" t="s">
        <v>66</v>
      </c>
      <c r="D54" s="61">
        <v>20000</v>
      </c>
      <c r="E54" s="47">
        <f t="shared" si="11"/>
        <v>1666.6666666666667</v>
      </c>
      <c r="F54" s="48">
        <f>E54/F12</f>
        <v>4.9613510751247779E-2</v>
      </c>
      <c r="G54" s="49">
        <f>D54*55.72%</f>
        <v>11144</v>
      </c>
      <c r="H54" s="416">
        <f>G54/G$12/12</f>
        <v>4.9613827762017455E-2</v>
      </c>
      <c r="I54" s="323">
        <f t="shared" si="12"/>
        <v>8856</v>
      </c>
      <c r="J54" s="544">
        <f t="shared" si="13"/>
        <v>4.9613111844626266E-2</v>
      </c>
      <c r="K54" s="558"/>
      <c r="L54" s="422"/>
    </row>
    <row r="55" spans="1:15" ht="27" hidden="1" customHeight="1" thickBot="1">
      <c r="A55" s="51" t="s">
        <v>60</v>
      </c>
      <c r="B55" s="63" t="s">
        <v>67</v>
      </c>
      <c r="C55" s="610" t="s">
        <v>68</v>
      </c>
      <c r="D55" s="61">
        <v>589420</v>
      </c>
      <c r="E55" s="47">
        <f t="shared" si="11"/>
        <v>49118.333333333336</v>
      </c>
      <c r="F55" s="48">
        <f>E55/F12</f>
        <v>1.4621597753500233</v>
      </c>
      <c r="G55" s="49">
        <f>D55*55.72%</f>
        <v>328424.82400000002</v>
      </c>
      <c r="H55" s="418">
        <f>G55/G$12/12</f>
        <v>1.4621691179744165</v>
      </c>
      <c r="I55" s="323">
        <f t="shared" si="12"/>
        <v>260995.17599999998</v>
      </c>
      <c r="J55" s="547">
        <f t="shared" si="13"/>
        <v>1.4621480191729803</v>
      </c>
      <c r="K55" s="557"/>
      <c r="L55" s="423"/>
    </row>
    <row r="56" spans="1:15" ht="40.5" hidden="1" customHeight="1" thickBot="1">
      <c r="A56" s="719" t="s">
        <v>69</v>
      </c>
      <c r="B56" s="720" t="s">
        <v>237</v>
      </c>
      <c r="C56" s="601"/>
      <c r="D56" s="254">
        <f>SUM(D57:D63)</f>
        <v>2986099.0430000001</v>
      </c>
      <c r="E56" s="254">
        <f t="shared" ref="E56:I56" si="15">SUM(E57:E63)</f>
        <v>248841.58691666668</v>
      </c>
      <c r="F56" s="434">
        <f t="shared" si="15"/>
        <v>7.4075428487085615</v>
      </c>
      <c r="G56" s="254">
        <f t="shared" si="15"/>
        <v>1663573.2429249</v>
      </c>
      <c r="H56" s="291">
        <f>SUM(H57:H63)</f>
        <v>7.4111892133773027</v>
      </c>
      <c r="I56" s="291">
        <f t="shared" si="15"/>
        <v>1322820.7000751002</v>
      </c>
      <c r="J56" s="546">
        <f>SUM(J57:J63)</f>
        <v>7.4107104046084844</v>
      </c>
      <c r="K56" s="551"/>
      <c r="L56" s="179"/>
    </row>
    <row r="57" spans="1:15" ht="18.75" customHeight="1" thickBot="1">
      <c r="A57" s="394" t="s">
        <v>376</v>
      </c>
      <c r="B57" s="723" t="s">
        <v>71</v>
      </c>
      <c r="C57" s="715" t="s">
        <v>72</v>
      </c>
      <c r="D57" s="478">
        <f>4830199.5*5%+0.02</f>
        <v>241509.995</v>
      </c>
      <c r="E57" s="347">
        <f t="shared" si="11"/>
        <v>20125.832916666666</v>
      </c>
      <c r="F57" s="735">
        <f>E57/F12</f>
        <v>0.59910793667331486</v>
      </c>
      <c r="G57" s="102">
        <f>D57*55.71%</f>
        <v>134545.2182145</v>
      </c>
      <c r="H57" s="429">
        <f>G57/G$12/12</f>
        <v>0.59900424288381704</v>
      </c>
      <c r="I57" s="736">
        <f>D57-G57</f>
        <v>106964.7767855</v>
      </c>
      <c r="J57" s="737">
        <f t="shared" si="13"/>
        <v>0.59923841848402148</v>
      </c>
      <c r="K57" s="568"/>
      <c r="L57" s="463" t="s">
        <v>278</v>
      </c>
    </row>
    <row r="58" spans="1:15" ht="63.75" customHeight="1" thickBot="1">
      <c r="A58" s="51" t="s">
        <v>379</v>
      </c>
      <c r="B58" s="724" t="s">
        <v>74</v>
      </c>
      <c r="C58" s="715" t="s">
        <v>75</v>
      </c>
      <c r="D58" s="61">
        <f>(33200+41165+10920+14368+34495)*12*1.302</f>
        <v>2095928.3520000002</v>
      </c>
      <c r="E58" s="46">
        <f>D58/12</f>
        <v>174660.69600000003</v>
      </c>
      <c r="F58" s="435">
        <f>E58/F12</f>
        <v>5.1993181912898532</v>
      </c>
      <c r="G58" s="102">
        <f t="shared" ref="G58:G62" si="16">D58*55.71%</f>
        <v>1167641.6848992002</v>
      </c>
      <c r="H58" s="416">
        <f>G58/G$12/12</f>
        <v>5.1984182916673349</v>
      </c>
      <c r="I58" s="323">
        <f>D58-G58</f>
        <v>928286.66710079997</v>
      </c>
      <c r="J58" s="738">
        <f t="shared" si="13"/>
        <v>5.2004505689642428</v>
      </c>
      <c r="K58" s="570" t="s">
        <v>224</v>
      </c>
      <c r="L58" s="270" t="s">
        <v>274</v>
      </c>
      <c r="O58" s="337"/>
    </row>
    <row r="59" spans="1:15" s="10" customFormat="1" ht="29.25" customHeight="1" thickBot="1">
      <c r="A59" s="321" t="s">
        <v>380</v>
      </c>
      <c r="B59" s="724" t="s">
        <v>77</v>
      </c>
      <c r="C59" s="716" t="s">
        <v>78</v>
      </c>
      <c r="D59" s="61">
        <v>60000</v>
      </c>
      <c r="E59" s="46">
        <f t="shared" si="11"/>
        <v>5000</v>
      </c>
      <c r="F59" s="322">
        <f>E59/F12</f>
        <v>0.14884053225374333</v>
      </c>
      <c r="G59" s="102">
        <f t="shared" si="16"/>
        <v>33426</v>
      </c>
      <c r="H59" s="416">
        <f>G59/G$12/12</f>
        <v>0.14881477088775982</v>
      </c>
      <c r="I59" s="348">
        <f>D59-G59</f>
        <v>26574</v>
      </c>
      <c r="J59" s="738">
        <f t="shared" si="13"/>
        <v>0.14887294875328569</v>
      </c>
      <c r="K59" s="573"/>
      <c r="L59" s="742" t="s">
        <v>274</v>
      </c>
    </row>
    <row r="60" spans="1:15" s="10" customFormat="1" ht="19.5" customHeight="1" thickBot="1">
      <c r="A60" s="321" t="s">
        <v>377</v>
      </c>
      <c r="B60" s="724" t="s">
        <v>264</v>
      </c>
      <c r="C60" s="716"/>
      <c r="D60" s="61">
        <v>119000</v>
      </c>
      <c r="E60" s="46">
        <f t="shared" si="11"/>
        <v>9916.6666666666661</v>
      </c>
      <c r="F60" s="322">
        <f>E60/F12</f>
        <v>0.29520038896992429</v>
      </c>
      <c r="G60" s="102">
        <f t="shared" si="16"/>
        <v>66294.900000000009</v>
      </c>
      <c r="H60" s="416">
        <v>0.3</v>
      </c>
      <c r="I60" s="348">
        <v>53000</v>
      </c>
      <c r="J60" s="738">
        <f t="shared" si="13"/>
        <v>0.29691677142786715</v>
      </c>
      <c r="K60" s="573" t="s">
        <v>229</v>
      </c>
      <c r="L60" s="270" t="s">
        <v>274</v>
      </c>
    </row>
    <row r="61" spans="1:15" ht="45.75" customHeight="1" thickBot="1">
      <c r="A61" s="51" t="s">
        <v>378</v>
      </c>
      <c r="B61" s="725" t="s">
        <v>258</v>
      </c>
      <c r="C61" s="717" t="s">
        <v>80</v>
      </c>
      <c r="D61" s="54">
        <v>100000</v>
      </c>
      <c r="E61" s="46">
        <f t="shared" si="11"/>
        <v>8333.3333333333339</v>
      </c>
      <c r="F61" s="435">
        <f>E61/F12</f>
        <v>0.24806755375623893</v>
      </c>
      <c r="G61" s="102">
        <f t="shared" si="16"/>
        <v>55710.000000000007</v>
      </c>
      <c r="H61" s="416">
        <f>G61/G$12/12</f>
        <v>0.24802461814626642</v>
      </c>
      <c r="I61" s="323">
        <f>D61-G61</f>
        <v>44289.999999999993</v>
      </c>
      <c r="J61" s="738">
        <f t="shared" si="13"/>
        <v>0.24812158125547612</v>
      </c>
      <c r="K61" s="570"/>
      <c r="L61" s="270" t="s">
        <v>274</v>
      </c>
    </row>
    <row r="62" spans="1:15" ht="18" customHeight="1" thickBot="1">
      <c r="A62" s="726" t="s">
        <v>381</v>
      </c>
      <c r="B62" s="727" t="s">
        <v>82</v>
      </c>
      <c r="C62" s="717" t="s">
        <v>83</v>
      </c>
      <c r="D62" s="105">
        <v>195000</v>
      </c>
      <c r="E62" s="109">
        <f t="shared" si="11"/>
        <v>16250</v>
      </c>
      <c r="F62" s="739">
        <f>E62/F12</f>
        <v>0.48373172982466583</v>
      </c>
      <c r="G62" s="102">
        <f t="shared" si="16"/>
        <v>108634.50000000001</v>
      </c>
      <c r="H62" s="418">
        <f>G62/G$12/12</f>
        <v>0.48364800538521951</v>
      </c>
      <c r="I62" s="740">
        <f>D62-G62</f>
        <v>86365.499999999985</v>
      </c>
      <c r="J62" s="741">
        <f t="shared" si="13"/>
        <v>0.48383708344817844</v>
      </c>
      <c r="K62" s="570"/>
      <c r="L62" s="464" t="s">
        <v>274</v>
      </c>
    </row>
    <row r="63" spans="1:15" ht="21" hidden="1" customHeight="1" thickBot="1">
      <c r="A63" s="73"/>
      <c r="B63" s="722" t="s">
        <v>315</v>
      </c>
      <c r="C63" s="617"/>
      <c r="D63" s="729">
        <f>(33200+41165+10920+14368+34495)*1.302</f>
        <v>174660.696</v>
      </c>
      <c r="E63" s="730">
        <f>D63/12</f>
        <v>14555.057999999999</v>
      </c>
      <c r="F63" s="731">
        <f>E63/F12</f>
        <v>0.43327651594082095</v>
      </c>
      <c r="G63" s="732">
        <f>D63*55.72%</f>
        <v>97320.939811200005</v>
      </c>
      <c r="H63" s="418">
        <f>G63/G$12/12</f>
        <v>0.43327928440690461</v>
      </c>
      <c r="I63" s="733">
        <f>D63-G63</f>
        <v>77339.756188799991</v>
      </c>
      <c r="J63" s="384">
        <f t="shared" si="13"/>
        <v>0.43327303227541325</v>
      </c>
      <c r="K63" s="553"/>
      <c r="L63" s="734" t="s">
        <v>331</v>
      </c>
    </row>
    <row r="64" spans="1:15" ht="23.25" hidden="1" customHeight="1" thickBot="1">
      <c r="A64" s="335" t="s">
        <v>84</v>
      </c>
      <c r="B64" s="408" t="s">
        <v>85</v>
      </c>
      <c r="C64" s="618"/>
      <c r="D64" s="409">
        <f>SUM(D65:D77)</f>
        <v>3980566</v>
      </c>
      <c r="E64" s="438">
        <f>SUM(E65:E77)</f>
        <v>331713.83333333337</v>
      </c>
      <c r="F64" s="485">
        <f>SUM(F66:F77)</f>
        <v>9.874492701852569</v>
      </c>
      <c r="G64" s="409">
        <f>SUM(G65:G77)</f>
        <v>2306611.5872000004</v>
      </c>
      <c r="H64" s="410">
        <f>H65+H68+H70+H72+H73+H74+H75+H76+H77</f>
        <v>10.269187903913721</v>
      </c>
      <c r="I64" s="411">
        <f>SUM(I65:I77)</f>
        <v>1673954.4128</v>
      </c>
      <c r="J64" s="392">
        <f>J68+J70+J72+J73+J74+J75+J76+J77</f>
        <v>9.3778328257737229</v>
      </c>
      <c r="K64" s="562"/>
      <c r="L64" s="332"/>
    </row>
    <row r="65" spans="1:12" ht="22.5" hidden="1" customHeight="1" thickBot="1">
      <c r="A65" s="335"/>
      <c r="B65" s="721" t="s">
        <v>215</v>
      </c>
      <c r="C65" s="619"/>
      <c r="D65" s="195"/>
      <c r="E65" s="195"/>
      <c r="F65" s="746"/>
      <c r="G65" s="747"/>
      <c r="H65" s="748"/>
      <c r="I65" s="747"/>
      <c r="J65" s="749"/>
      <c r="K65" s="563"/>
      <c r="L65" s="332"/>
    </row>
    <row r="66" spans="1:12" ht="18" customHeight="1" thickBot="1">
      <c r="A66" s="79" t="s">
        <v>382</v>
      </c>
      <c r="B66" s="728" t="s">
        <v>270</v>
      </c>
      <c r="C66" s="718"/>
      <c r="D66" s="224"/>
      <c r="E66" s="750" t="s">
        <v>271</v>
      </c>
      <c r="F66" s="751"/>
      <c r="G66" s="752"/>
      <c r="H66" s="752"/>
      <c r="I66" s="752"/>
      <c r="J66" s="753"/>
      <c r="K66" s="745" t="s">
        <v>272</v>
      </c>
      <c r="L66" s="22" t="s">
        <v>274</v>
      </c>
    </row>
    <row r="67" spans="1:12" ht="22.5" hidden="1" customHeight="1">
      <c r="A67" s="43"/>
      <c r="B67" s="511" t="s">
        <v>53</v>
      </c>
      <c r="C67" s="621"/>
      <c r="D67" s="46"/>
      <c r="E67" s="47"/>
      <c r="F67" s="446"/>
      <c r="G67" s="442"/>
      <c r="H67" s="397"/>
      <c r="I67" s="451"/>
      <c r="J67" s="457"/>
      <c r="K67" s="565"/>
      <c r="L67" s="465"/>
    </row>
    <row r="68" spans="1:12" ht="22.5" hidden="1" customHeight="1" thickBot="1">
      <c r="A68" s="92"/>
      <c r="B68" s="512" t="s">
        <v>263</v>
      </c>
      <c r="C68" s="620"/>
      <c r="D68" s="109">
        <v>50002</v>
      </c>
      <c r="E68" s="440">
        <f t="shared" ref="E68:E77" si="17">D68/12</f>
        <v>4166.833333333333</v>
      </c>
      <c r="F68" s="447">
        <f>E68/F12</f>
        <v>0.12403873822919456</v>
      </c>
      <c r="G68" s="443"/>
      <c r="H68" s="399">
        <f t="shared" ref="H68:H97" si="18">G68/G$12/12</f>
        <v>0</v>
      </c>
      <c r="I68" s="452">
        <f>D68</f>
        <v>50002</v>
      </c>
      <c r="J68" s="458">
        <f t="shared" ref="J68:J97" si="19">I68/H$12/12</f>
        <v>0.28012136613087196</v>
      </c>
      <c r="K68" s="566"/>
      <c r="L68" s="19" t="s">
        <v>331</v>
      </c>
    </row>
    <row r="69" spans="1:12" ht="22.5" hidden="1" customHeight="1">
      <c r="A69" s="43"/>
      <c r="B69" s="511" t="s">
        <v>219</v>
      </c>
      <c r="C69" s="621"/>
      <c r="D69" s="46"/>
      <c r="E69" s="47"/>
      <c r="F69" s="448"/>
      <c r="G69" s="442"/>
      <c r="H69" s="398"/>
      <c r="I69" s="451"/>
      <c r="J69" s="459"/>
      <c r="K69" s="565"/>
      <c r="L69" s="465"/>
    </row>
    <row r="70" spans="1:12" s="10" customFormat="1" ht="22.5" hidden="1" customHeight="1" thickBot="1">
      <c r="A70" s="400" t="s">
        <v>88</v>
      </c>
      <c r="B70" s="513" t="s">
        <v>220</v>
      </c>
      <c r="C70" s="622"/>
      <c r="D70" s="218">
        <v>602000</v>
      </c>
      <c r="E70" s="356">
        <f t="shared" si="17"/>
        <v>50166.666666666664</v>
      </c>
      <c r="F70" s="449">
        <f>E70/F12</f>
        <v>1.4933666736125581</v>
      </c>
      <c r="G70" s="444">
        <v>100000</v>
      </c>
      <c r="H70" s="401">
        <f t="shared" si="18"/>
        <v>0.44520663820905831</v>
      </c>
      <c r="I70" s="453">
        <v>502000</v>
      </c>
      <c r="J70" s="460">
        <f t="shared" si="19"/>
        <v>2.8123060237130062</v>
      </c>
      <c r="K70" s="567" t="s">
        <v>86</v>
      </c>
      <c r="L70" s="466" t="s">
        <v>331</v>
      </c>
    </row>
    <row r="71" spans="1:12" ht="22.5" hidden="1" customHeight="1">
      <c r="A71" s="394"/>
      <c r="B71" s="505" t="s">
        <v>259</v>
      </c>
      <c r="C71" s="619"/>
      <c r="D71" s="347"/>
      <c r="E71" s="441"/>
      <c r="F71" s="446"/>
      <c r="G71" s="431"/>
      <c r="H71" s="402">
        <f>SUM(H72:H77)</f>
        <v>9.8239812657046635</v>
      </c>
      <c r="I71" s="454"/>
      <c r="J71" s="461">
        <f>SUM(J72:J77)</f>
        <v>6.2854054359298432</v>
      </c>
      <c r="K71" s="568"/>
      <c r="L71" s="463"/>
    </row>
    <row r="72" spans="1:12" ht="37.5" hidden="1" customHeight="1">
      <c r="A72" s="51" t="s">
        <v>89</v>
      </c>
      <c r="B72" s="506" t="s">
        <v>337</v>
      </c>
      <c r="C72" s="623"/>
      <c r="D72" s="439">
        <f>25000*4+25*1500*4+3*80000+15000</f>
        <v>505000</v>
      </c>
      <c r="E72" s="336">
        <f t="shared" si="17"/>
        <v>42083.333333333336</v>
      </c>
      <c r="F72" s="450">
        <f>E72/F12</f>
        <v>1.2527411464690066</v>
      </c>
      <c r="G72" s="349">
        <f>25000*4+25*1500*4+3*80000+15000</f>
        <v>505000</v>
      </c>
      <c r="H72" s="381">
        <f t="shared" si="18"/>
        <v>2.2482935229557444</v>
      </c>
      <c r="I72" s="256"/>
      <c r="J72" s="462">
        <f t="shared" si="19"/>
        <v>0</v>
      </c>
      <c r="K72" s="569" t="s">
        <v>235</v>
      </c>
      <c r="L72" s="466" t="s">
        <v>331</v>
      </c>
    </row>
    <row r="73" spans="1:12" ht="34.5" hidden="1" customHeight="1">
      <c r="A73" s="51" t="s">
        <v>90</v>
      </c>
      <c r="B73" s="506" t="s">
        <v>336</v>
      </c>
      <c r="C73" s="623"/>
      <c r="D73" s="61">
        <f>286000</f>
        <v>286000</v>
      </c>
      <c r="E73" s="336">
        <f t="shared" si="17"/>
        <v>23833.333333333332</v>
      </c>
      <c r="F73" s="450">
        <f>E73/F12</f>
        <v>0.70947320374284317</v>
      </c>
      <c r="G73" s="349">
        <f>D73-I73</f>
        <v>214000</v>
      </c>
      <c r="H73" s="382">
        <f t="shared" si="18"/>
        <v>0.95274220576738478</v>
      </c>
      <c r="I73" s="256">
        <v>72000</v>
      </c>
      <c r="J73" s="462">
        <f t="shared" si="19"/>
        <v>0.40335863288314028</v>
      </c>
      <c r="K73" s="569" t="s">
        <v>234</v>
      </c>
      <c r="L73" s="466" t="s">
        <v>331</v>
      </c>
    </row>
    <row r="74" spans="1:12" ht="32.25" hidden="1" customHeight="1">
      <c r="A74" s="51" t="s">
        <v>91</v>
      </c>
      <c r="B74" s="506" t="s">
        <v>316</v>
      </c>
      <c r="C74" s="623"/>
      <c r="D74" s="61">
        <v>166800</v>
      </c>
      <c r="E74" s="336">
        <f t="shared" si="17"/>
        <v>13900</v>
      </c>
      <c r="F74" s="450">
        <f>E74/F12</f>
        <v>0.41377667966540649</v>
      </c>
      <c r="G74" s="349">
        <f>D74</f>
        <v>166800</v>
      </c>
      <c r="H74" s="382">
        <f t="shared" si="18"/>
        <v>0.74260467253270923</v>
      </c>
      <c r="I74" s="455"/>
      <c r="J74" s="462">
        <f t="shared" si="19"/>
        <v>0</v>
      </c>
      <c r="K74" s="570" t="s">
        <v>229</v>
      </c>
      <c r="L74" s="466" t="s">
        <v>331</v>
      </c>
    </row>
    <row r="75" spans="1:12" ht="54.75" hidden="1" customHeight="1">
      <c r="A75" s="51" t="s">
        <v>240</v>
      </c>
      <c r="B75" s="507" t="s">
        <v>328</v>
      </c>
      <c r="C75" s="623" t="s">
        <v>80</v>
      </c>
      <c r="D75" s="61">
        <f>410000+31200</f>
        <v>441200</v>
      </c>
      <c r="E75" s="336">
        <f t="shared" si="17"/>
        <v>36766.666666666664</v>
      </c>
      <c r="F75" s="450">
        <f>E75/F12</f>
        <v>1.0944740471725261</v>
      </c>
      <c r="G75" s="349">
        <f>D75*55.72%</f>
        <v>245836.64</v>
      </c>
      <c r="H75" s="382">
        <f t="shared" si="18"/>
        <v>1.0944810404301053</v>
      </c>
      <c r="I75" s="455">
        <f t="shared" ref="I75" si="20">D75-G75</f>
        <v>195363.36</v>
      </c>
      <c r="J75" s="462">
        <f t="shared" si="19"/>
        <v>1.0944652472924552</v>
      </c>
      <c r="K75" s="570"/>
      <c r="L75" s="466" t="s">
        <v>331</v>
      </c>
    </row>
    <row r="76" spans="1:12" ht="18" customHeight="1">
      <c r="A76" s="51" t="s">
        <v>384</v>
      </c>
      <c r="B76" s="502" t="s">
        <v>383</v>
      </c>
      <c r="C76" s="610" t="s">
        <v>92</v>
      </c>
      <c r="D76" s="61">
        <f>(29000+24000+26000+35000)*12*1.302</f>
        <v>1781136</v>
      </c>
      <c r="E76" s="336">
        <f t="shared" si="17"/>
        <v>148428</v>
      </c>
      <c r="F76" s="450">
        <f>E76/F12</f>
        <v>4.4184205042717233</v>
      </c>
      <c r="G76" s="350">
        <f>D76*55.71%</f>
        <v>992270.86560000002</v>
      </c>
      <c r="H76" s="382">
        <f t="shared" si="18"/>
        <v>4.4176557626656834</v>
      </c>
      <c r="I76" s="287">
        <f>D76-G76</f>
        <v>788865.13439999998</v>
      </c>
      <c r="J76" s="462">
        <f t="shared" si="19"/>
        <v>4.4193828075105381</v>
      </c>
      <c r="K76" s="570" t="s">
        <v>218</v>
      </c>
      <c r="L76" s="270" t="s">
        <v>274</v>
      </c>
    </row>
    <row r="77" spans="1:12" ht="27" hidden="1" customHeight="1" thickBot="1">
      <c r="A77" s="92"/>
      <c r="B77" s="509" t="s">
        <v>277</v>
      </c>
      <c r="C77" s="622"/>
      <c r="D77" s="109">
        <f>(29000+24000+26000+35000)*1.302</f>
        <v>148428</v>
      </c>
      <c r="E77" s="440">
        <f t="shared" si="17"/>
        <v>12369</v>
      </c>
      <c r="F77" s="447">
        <f>E77/F12</f>
        <v>0.36820170868931029</v>
      </c>
      <c r="G77" s="445">
        <f>D77*55.72%</f>
        <v>82704.081600000005</v>
      </c>
      <c r="H77" s="399">
        <f t="shared" si="18"/>
        <v>0.3682040613530364</v>
      </c>
      <c r="I77" s="456">
        <f>D77-G77</f>
        <v>65723.918399999995</v>
      </c>
      <c r="J77" s="458">
        <f t="shared" si="19"/>
        <v>0.3681987482437093</v>
      </c>
      <c r="K77" s="566"/>
      <c r="L77" s="466" t="s">
        <v>331</v>
      </c>
    </row>
    <row r="78" spans="1:12" ht="46.5" hidden="1" customHeight="1" thickBot="1">
      <c r="A78" s="385">
        <v>2</v>
      </c>
      <c r="B78" s="386" t="s">
        <v>93</v>
      </c>
      <c r="C78" s="624"/>
      <c r="D78" s="387">
        <f>SUM(D80:D97)</f>
        <v>5277841.3000000007</v>
      </c>
      <c r="E78" s="387">
        <f>SUM(E80:E97)</f>
        <v>439820.10833333328</v>
      </c>
      <c r="F78" s="388">
        <f>SUM(F80:F97)</f>
        <v>13.092611804046475</v>
      </c>
      <c r="G78" s="387">
        <f>SUM(G80:G97)</f>
        <v>2940345.0662400001</v>
      </c>
      <c r="H78" s="389">
        <f>H80+H82+H83+H84+H86+H87+H88+H89+H90+H91+H93+H94+H95+H96+H97+H92</f>
        <v>13.090611421153017</v>
      </c>
      <c r="I78" s="390">
        <f>SUM(I80:I97)</f>
        <v>2337496.2337600002</v>
      </c>
      <c r="J78" s="391">
        <f>J80+J82+J83+J84+J86+J87+J88+J89+J90+J91+J93+J94+J95+J96+J97+J92</f>
        <v>13.095128961373932</v>
      </c>
      <c r="K78" s="571"/>
      <c r="L78" s="583"/>
    </row>
    <row r="79" spans="1:12" ht="17.25" hidden="1" customHeight="1">
      <c r="A79" s="394"/>
      <c r="B79" s="403" t="s">
        <v>94</v>
      </c>
      <c r="C79" s="625"/>
      <c r="D79" s="477"/>
      <c r="E79" s="441"/>
      <c r="F79" s="473" t="e">
        <f>E79/#REF!</f>
        <v>#REF!</v>
      </c>
      <c r="G79" s="471"/>
      <c r="H79" s="395"/>
      <c r="I79" s="468"/>
      <c r="J79" s="469"/>
      <c r="K79" s="568"/>
      <c r="L79" s="463"/>
    </row>
    <row r="80" spans="1:12" ht="18" customHeight="1">
      <c r="A80" s="85" t="s">
        <v>385</v>
      </c>
      <c r="B80" s="232" t="s">
        <v>95</v>
      </c>
      <c r="C80" s="626" t="s">
        <v>96</v>
      </c>
      <c r="D80" s="122">
        <f>16000+9700+10000</f>
        <v>35700</v>
      </c>
      <c r="E80" s="356">
        <f t="shared" si="11"/>
        <v>2975</v>
      </c>
      <c r="F80" s="449">
        <f>E80/F12</f>
        <v>8.8560116690977284E-2</v>
      </c>
      <c r="G80" s="350">
        <f>D80*55.71%</f>
        <v>19888.47</v>
      </c>
      <c r="H80" s="404">
        <f t="shared" si="18"/>
        <v>8.8544788678217093E-2</v>
      </c>
      <c r="I80" s="428">
        <f>D80-G80</f>
        <v>15811.529999999999</v>
      </c>
      <c r="J80" s="470">
        <f t="shared" si="19"/>
        <v>8.8579404508204992E-2</v>
      </c>
      <c r="K80" s="572"/>
      <c r="L80" s="467" t="s">
        <v>274</v>
      </c>
    </row>
    <row r="81" spans="1:12" ht="17.25" hidden="1" customHeight="1">
      <c r="A81" s="394"/>
      <c r="B81" s="501" t="s">
        <v>98</v>
      </c>
      <c r="C81" s="627"/>
      <c r="D81" s="478"/>
      <c r="E81" s="441"/>
      <c r="F81" s="446"/>
      <c r="G81" s="471">
        <f t="shared" ref="G81:G96" si="21">D81*55.72%</f>
        <v>0</v>
      </c>
      <c r="H81" s="395"/>
      <c r="I81" s="468"/>
      <c r="J81" s="469"/>
      <c r="K81" s="568"/>
      <c r="L81" s="463"/>
    </row>
    <row r="82" spans="1:12" ht="18" customHeight="1">
      <c r="A82" s="51" t="s">
        <v>386</v>
      </c>
      <c r="B82" s="499" t="s">
        <v>99</v>
      </c>
      <c r="C82" s="589" t="s">
        <v>100</v>
      </c>
      <c r="D82" s="61">
        <f>(60000*2+24000+13550)*12+75000*12</f>
        <v>2790600</v>
      </c>
      <c r="E82" s="336">
        <f t="shared" si="11"/>
        <v>232550</v>
      </c>
      <c r="F82" s="450">
        <f>E82/F12</f>
        <v>6.9225731551216025</v>
      </c>
      <c r="G82" s="350">
        <f t="shared" ref="G82:G83" si="22">D82*55.71%</f>
        <v>1554643.26</v>
      </c>
      <c r="H82" s="382">
        <f t="shared" si="18"/>
        <v>6.9213749939897093</v>
      </c>
      <c r="I82" s="287">
        <f>D82-G82</f>
        <v>1235956.74</v>
      </c>
      <c r="J82" s="462">
        <f t="shared" si="19"/>
        <v>6.9240808465153174</v>
      </c>
      <c r="K82" s="570"/>
      <c r="L82" s="270" t="s">
        <v>274</v>
      </c>
    </row>
    <row r="83" spans="1:12" ht="18" customHeight="1">
      <c r="A83" s="51" t="s">
        <v>387</v>
      </c>
      <c r="B83" s="499" t="s">
        <v>101</v>
      </c>
      <c r="C83" s="589"/>
      <c r="D83" s="61">
        <f>D82*0.302</f>
        <v>842761.2</v>
      </c>
      <c r="E83" s="336">
        <f>D83/12</f>
        <v>70230.099999999991</v>
      </c>
      <c r="F83" s="450">
        <f>E83/F12</f>
        <v>2.0906170928467236</v>
      </c>
      <c r="G83" s="350">
        <f t="shared" si="22"/>
        <v>469502.26452000003</v>
      </c>
      <c r="H83" s="382">
        <f t="shared" si="18"/>
        <v>2.0902552481848926</v>
      </c>
      <c r="I83" s="287">
        <f>D83-G83</f>
        <v>373258.93547999993</v>
      </c>
      <c r="J83" s="462">
        <f t="shared" si="19"/>
        <v>2.0910724156476257</v>
      </c>
      <c r="K83" s="570"/>
      <c r="L83" s="270" t="s">
        <v>274</v>
      </c>
    </row>
    <row r="84" spans="1:12" ht="21" hidden="1" customHeight="1" thickBot="1">
      <c r="A84" s="85" t="s">
        <v>276</v>
      </c>
      <c r="B84" s="504" t="s">
        <v>302</v>
      </c>
      <c r="C84" s="628"/>
      <c r="D84" s="218">
        <f>(60000*2+24000+13550+75000)*1.302</f>
        <v>302780.10000000003</v>
      </c>
      <c r="E84" s="356">
        <f t="shared" ref="E84" si="23">D84/12</f>
        <v>25231.675000000003</v>
      </c>
      <c r="F84" s="449">
        <f>E84/F12</f>
        <v>0.75109918733069403</v>
      </c>
      <c r="G84" s="358">
        <f t="shared" si="21"/>
        <v>168709.07172000004</v>
      </c>
      <c r="H84" s="404">
        <f t="shared" si="18"/>
        <v>0.75110398655832133</v>
      </c>
      <c r="I84" s="428">
        <f t="shared" ref="I84" si="24">D84-G84</f>
        <v>134071.02828</v>
      </c>
      <c r="J84" s="470">
        <f t="shared" si="19"/>
        <v>0.75109314828135609</v>
      </c>
      <c r="K84" s="572"/>
      <c r="L84" s="466" t="s">
        <v>331</v>
      </c>
    </row>
    <row r="85" spans="1:12" ht="15.75" hidden="1" customHeight="1">
      <c r="A85" s="394"/>
      <c r="B85" s="501" t="s">
        <v>103</v>
      </c>
      <c r="C85" s="627"/>
      <c r="D85" s="478"/>
      <c r="E85" s="441"/>
      <c r="F85" s="446"/>
      <c r="G85" s="471">
        <f t="shared" si="21"/>
        <v>0</v>
      </c>
      <c r="H85" s="395"/>
      <c r="I85" s="468"/>
      <c r="J85" s="469"/>
      <c r="K85" s="568"/>
      <c r="L85" s="463"/>
    </row>
    <row r="86" spans="1:12" s="115" customFormat="1" ht="18" customHeight="1">
      <c r="A86" s="56" t="s">
        <v>388</v>
      </c>
      <c r="B86" s="502" t="s">
        <v>267</v>
      </c>
      <c r="C86" s="610" t="s">
        <v>104</v>
      </c>
      <c r="D86" s="61">
        <v>70000</v>
      </c>
      <c r="E86" s="336">
        <f t="shared" si="11"/>
        <v>5833.333333333333</v>
      </c>
      <c r="F86" s="450">
        <f>E86/F12</f>
        <v>0.17364728762936721</v>
      </c>
      <c r="G86" s="350">
        <f t="shared" ref="G86:G89" si="25">D86*55.71%</f>
        <v>38997</v>
      </c>
      <c r="H86" s="382">
        <f t="shared" si="18"/>
        <v>0.17361723270238646</v>
      </c>
      <c r="I86" s="455">
        <f t="shared" ref="I86:I97" si="26">D86-G86</f>
        <v>31003</v>
      </c>
      <c r="J86" s="462">
        <f t="shared" si="19"/>
        <v>0.17368510687883332</v>
      </c>
      <c r="K86" s="573"/>
      <c r="L86" s="270" t="s">
        <v>274</v>
      </c>
    </row>
    <row r="87" spans="1:12" ht="18" customHeight="1">
      <c r="A87" s="51" t="s">
        <v>389</v>
      </c>
      <c r="B87" s="499" t="s">
        <v>105</v>
      </c>
      <c r="C87" s="589" t="s">
        <v>106</v>
      </c>
      <c r="D87" s="54">
        <v>70000</v>
      </c>
      <c r="E87" s="336">
        <f t="shared" si="11"/>
        <v>5833.333333333333</v>
      </c>
      <c r="F87" s="450">
        <f>E87/F12</f>
        <v>0.17364728762936721</v>
      </c>
      <c r="G87" s="350">
        <f t="shared" si="25"/>
        <v>38997</v>
      </c>
      <c r="H87" s="382">
        <f t="shared" si="18"/>
        <v>0.17361723270238646</v>
      </c>
      <c r="I87" s="287">
        <f t="shared" si="26"/>
        <v>31003</v>
      </c>
      <c r="J87" s="462">
        <f t="shared" si="19"/>
        <v>0.17368510687883332</v>
      </c>
      <c r="K87" s="570"/>
      <c r="L87" s="270" t="s">
        <v>274</v>
      </c>
    </row>
    <row r="88" spans="1:12" ht="18" customHeight="1">
      <c r="A88" s="51" t="s">
        <v>390</v>
      </c>
      <c r="B88" s="499" t="s">
        <v>107</v>
      </c>
      <c r="C88" s="589" t="s">
        <v>108</v>
      </c>
      <c r="D88" s="61">
        <v>90000</v>
      </c>
      <c r="E88" s="336">
        <f t="shared" si="11"/>
        <v>7500</v>
      </c>
      <c r="F88" s="450">
        <f>E88/F12</f>
        <v>0.22326079838061502</v>
      </c>
      <c r="G88" s="350">
        <f t="shared" si="25"/>
        <v>50139</v>
      </c>
      <c r="H88" s="382">
        <f t="shared" si="18"/>
        <v>0.22322215633163975</v>
      </c>
      <c r="I88" s="287">
        <f t="shared" si="26"/>
        <v>39861</v>
      </c>
      <c r="J88" s="462">
        <f t="shared" si="19"/>
        <v>0.22330942312992855</v>
      </c>
      <c r="K88" s="570"/>
      <c r="L88" s="270" t="s">
        <v>274</v>
      </c>
    </row>
    <row r="89" spans="1:12" ht="18" customHeight="1">
      <c r="A89" s="51" t="s">
        <v>391</v>
      </c>
      <c r="B89" s="499" t="s">
        <v>109</v>
      </c>
      <c r="C89" s="589" t="s">
        <v>110</v>
      </c>
      <c r="D89" s="54">
        <v>30000</v>
      </c>
      <c r="E89" s="336">
        <f t="shared" si="11"/>
        <v>2500</v>
      </c>
      <c r="F89" s="450">
        <f>E89/F12</f>
        <v>7.4420266126871665E-2</v>
      </c>
      <c r="G89" s="350">
        <f t="shared" si="25"/>
        <v>16713</v>
      </c>
      <c r="H89" s="382">
        <f t="shared" si="18"/>
        <v>7.4407385443879911E-2</v>
      </c>
      <c r="I89" s="287">
        <f t="shared" si="26"/>
        <v>13287</v>
      </c>
      <c r="J89" s="462">
        <f t="shared" si="19"/>
        <v>7.4436474376642844E-2</v>
      </c>
      <c r="K89" s="570"/>
      <c r="L89" s="270" t="s">
        <v>274</v>
      </c>
    </row>
    <row r="90" spans="1:12" ht="35.25" hidden="1" customHeight="1">
      <c r="A90" s="51" t="s">
        <v>247</v>
      </c>
      <c r="B90" s="499" t="s">
        <v>329</v>
      </c>
      <c r="C90" s="589" t="s">
        <v>111</v>
      </c>
      <c r="D90" s="54">
        <f>52000+6000+(15000+56000)+25000</f>
        <v>154000</v>
      </c>
      <c r="E90" s="336">
        <f>D90/12</f>
        <v>12833.333333333334</v>
      </c>
      <c r="F90" s="450">
        <f>E90/F12</f>
        <v>0.38202403278460795</v>
      </c>
      <c r="G90" s="350">
        <f t="shared" si="21"/>
        <v>85808.8</v>
      </c>
      <c r="H90" s="382">
        <f t="shared" si="18"/>
        <v>0.38202647376753446</v>
      </c>
      <c r="I90" s="287">
        <f t="shared" si="26"/>
        <v>68191.199999999997</v>
      </c>
      <c r="J90" s="462">
        <f t="shared" si="19"/>
        <v>0.38202096120362222</v>
      </c>
      <c r="K90" s="570"/>
      <c r="L90" s="466" t="s">
        <v>331</v>
      </c>
    </row>
    <row r="91" spans="1:12" ht="18" customHeight="1">
      <c r="A91" s="51" t="s">
        <v>392</v>
      </c>
      <c r="B91" s="499" t="s">
        <v>320</v>
      </c>
      <c r="C91" s="589"/>
      <c r="D91" s="54">
        <v>60000</v>
      </c>
      <c r="E91" s="336">
        <f t="shared" ref="E91:E92" si="27">D91/12</f>
        <v>5000</v>
      </c>
      <c r="F91" s="450">
        <f>E91/F12</f>
        <v>0.14884053225374333</v>
      </c>
      <c r="G91" s="350">
        <f t="shared" ref="G91:G95" si="28">D91*55.71%</f>
        <v>33426</v>
      </c>
      <c r="H91" s="382">
        <f t="shared" si="18"/>
        <v>0.14881477088775982</v>
      </c>
      <c r="I91" s="287">
        <f t="shared" si="26"/>
        <v>26574</v>
      </c>
      <c r="J91" s="462">
        <f t="shared" si="19"/>
        <v>0.14887294875328569</v>
      </c>
      <c r="K91" s="570"/>
      <c r="L91" s="270" t="s">
        <v>274</v>
      </c>
    </row>
    <row r="92" spans="1:12" ht="18" customHeight="1">
      <c r="A92" s="51" t="s">
        <v>393</v>
      </c>
      <c r="B92" s="499" t="s">
        <v>330</v>
      </c>
      <c r="C92" s="589"/>
      <c r="D92" s="54">
        <v>47000</v>
      </c>
      <c r="E92" s="336">
        <f t="shared" si="27"/>
        <v>3916.6666666666665</v>
      </c>
      <c r="F92" s="450">
        <f>E92/F12</f>
        <v>0.11659175026543228</v>
      </c>
      <c r="G92" s="350">
        <f t="shared" si="28"/>
        <v>26183.7</v>
      </c>
      <c r="H92" s="382">
        <f t="shared" si="18"/>
        <v>0.11657157052874521</v>
      </c>
      <c r="I92" s="287">
        <f t="shared" si="26"/>
        <v>20816.3</v>
      </c>
      <c r="J92" s="462">
        <f t="shared" si="19"/>
        <v>0.11661714319007381</v>
      </c>
      <c r="K92" s="570"/>
      <c r="L92" s="270" t="s">
        <v>274</v>
      </c>
    </row>
    <row r="93" spans="1:12" ht="18" customHeight="1">
      <c r="A93" s="51" t="s">
        <v>394</v>
      </c>
      <c r="B93" s="499" t="s">
        <v>112</v>
      </c>
      <c r="C93" s="589"/>
      <c r="D93" s="54">
        <f>20000</f>
        <v>20000</v>
      </c>
      <c r="E93" s="336">
        <f t="shared" si="11"/>
        <v>1666.6666666666667</v>
      </c>
      <c r="F93" s="450">
        <f>E93/F12</f>
        <v>4.9613510751247779E-2</v>
      </c>
      <c r="G93" s="350">
        <f t="shared" si="28"/>
        <v>11142</v>
      </c>
      <c r="H93" s="382">
        <f t="shared" si="18"/>
        <v>4.9604923629253277E-2</v>
      </c>
      <c r="I93" s="287">
        <f t="shared" si="26"/>
        <v>8858</v>
      </c>
      <c r="J93" s="462">
        <f t="shared" si="19"/>
        <v>4.9624316251095237E-2</v>
      </c>
      <c r="K93" s="570"/>
      <c r="L93" s="270" t="s">
        <v>274</v>
      </c>
    </row>
    <row r="94" spans="1:12" ht="18" customHeight="1">
      <c r="A94" s="51" t="s">
        <v>394</v>
      </c>
      <c r="B94" s="499" t="s">
        <v>113</v>
      </c>
      <c r="C94" s="605" t="s">
        <v>344</v>
      </c>
      <c r="D94" s="54">
        <v>40000</v>
      </c>
      <c r="E94" s="336">
        <f t="shared" si="11"/>
        <v>3333.3333333333335</v>
      </c>
      <c r="F94" s="450">
        <f>E94/F12</f>
        <v>9.9227021502495558E-2</v>
      </c>
      <c r="G94" s="350">
        <f t="shared" si="28"/>
        <v>22284</v>
      </c>
      <c r="H94" s="382">
        <f t="shared" si="18"/>
        <v>9.9209847258506553E-2</v>
      </c>
      <c r="I94" s="287">
        <f t="shared" si="26"/>
        <v>17716</v>
      </c>
      <c r="J94" s="462">
        <f t="shared" si="19"/>
        <v>9.9248632502190473E-2</v>
      </c>
      <c r="K94" s="570"/>
      <c r="L94" s="270" t="s">
        <v>274</v>
      </c>
    </row>
    <row r="95" spans="1:12" ht="18" customHeight="1">
      <c r="A95" s="51" t="s">
        <v>396</v>
      </c>
      <c r="B95" s="499" t="s">
        <v>115</v>
      </c>
      <c r="C95" s="605" t="s">
        <v>116</v>
      </c>
      <c r="D95" s="54">
        <v>45000</v>
      </c>
      <c r="E95" s="336">
        <f t="shared" si="11"/>
        <v>3750</v>
      </c>
      <c r="F95" s="450">
        <f>E95/F12</f>
        <v>0.11163039919030751</v>
      </c>
      <c r="G95" s="350">
        <f t="shared" si="28"/>
        <v>25069.5</v>
      </c>
      <c r="H95" s="382">
        <f t="shared" si="18"/>
        <v>0.11161107816581987</v>
      </c>
      <c r="I95" s="287">
        <f t="shared" si="26"/>
        <v>19930.5</v>
      </c>
      <c r="J95" s="462">
        <f t="shared" si="19"/>
        <v>0.11165471156496427</v>
      </c>
      <c r="K95" s="570"/>
      <c r="L95" s="270" t="s">
        <v>274</v>
      </c>
    </row>
    <row r="96" spans="1:12" ht="18" hidden="1" customHeight="1">
      <c r="A96" s="51" t="s">
        <v>252</v>
      </c>
      <c r="B96" s="499" t="s">
        <v>260</v>
      </c>
      <c r="C96" s="605" t="s">
        <v>117</v>
      </c>
      <c r="D96" s="54">
        <v>140000</v>
      </c>
      <c r="E96" s="336">
        <f t="shared" si="11"/>
        <v>11666.666666666666</v>
      </c>
      <c r="F96" s="450">
        <f>E96/F12</f>
        <v>0.34729457525873442</v>
      </c>
      <c r="G96" s="350">
        <f t="shared" si="21"/>
        <v>78008</v>
      </c>
      <c r="H96" s="382">
        <f t="shared" si="18"/>
        <v>0.34729679433412225</v>
      </c>
      <c r="I96" s="287">
        <f t="shared" si="26"/>
        <v>61992</v>
      </c>
      <c r="J96" s="462">
        <f t="shared" si="19"/>
        <v>0.34729178291238383</v>
      </c>
      <c r="K96" s="570"/>
      <c r="L96" s="466" t="s">
        <v>331</v>
      </c>
    </row>
    <row r="97" spans="1:12" ht="18" customHeight="1" thickBot="1">
      <c r="A97" s="92" t="s">
        <v>397</v>
      </c>
      <c r="B97" s="503" t="s">
        <v>118</v>
      </c>
      <c r="C97" s="629"/>
      <c r="D97" s="109">
        <v>540000</v>
      </c>
      <c r="E97" s="440">
        <f t="shared" si="11"/>
        <v>45000</v>
      </c>
      <c r="F97" s="447">
        <f>E97/F12</f>
        <v>1.33956479028369</v>
      </c>
      <c r="G97" s="350">
        <f>D97*55.71%</f>
        <v>300834</v>
      </c>
      <c r="H97" s="399">
        <f t="shared" si="18"/>
        <v>1.3393329379898384</v>
      </c>
      <c r="I97" s="456">
        <f t="shared" si="26"/>
        <v>239166</v>
      </c>
      <c r="J97" s="458">
        <f t="shared" si="19"/>
        <v>1.3398565387795713</v>
      </c>
      <c r="K97" s="566"/>
      <c r="L97" s="464" t="s">
        <v>274</v>
      </c>
    </row>
    <row r="98" spans="1:12" ht="39.75" hidden="1" customHeight="1" thickBot="1">
      <c r="A98" s="405"/>
      <c r="B98" s="406" t="s">
        <v>119</v>
      </c>
      <c r="C98" s="630"/>
      <c r="D98" s="479">
        <f>D78+D64+D56+D52+D48+D45+D27</f>
        <v>18748771.343000002</v>
      </c>
      <c r="E98" s="476">
        <f>E78+E64+E56+E52+E48+E45+E27</f>
        <v>1562397.6119166669</v>
      </c>
      <c r="F98" s="474">
        <f>F78+F64+F56+F52+F48+F45+F27</f>
        <v>46.509618429930839</v>
      </c>
      <c r="G98" s="472">
        <f>G78+G64+G56+G52+G48+G45+G27</f>
        <v>9945303.0743649006</v>
      </c>
      <c r="H98" s="407"/>
      <c r="I98" s="407">
        <f>I78+I64+I56+I52+I48+I45+I27</f>
        <v>8803763.1686351001</v>
      </c>
      <c r="J98" s="475"/>
      <c r="K98" s="574"/>
      <c r="L98" s="22"/>
    </row>
    <row r="99" spans="1:12" ht="20.25" hidden="1" customHeight="1">
      <c r="A99" s="7"/>
      <c r="B99" s="129"/>
      <c r="C99" s="594"/>
      <c r="D99" s="130"/>
      <c r="E99" s="130"/>
      <c r="F99" s="517">
        <f>F97+F95+F93+F89+F88+F87+F86+F83+F82+F80+F76+F61+F59+F58+F57+F52+F48+F45+F62+F94+F91+F92+F60</f>
        <v>29.396130510820708</v>
      </c>
      <c r="G99" s="131"/>
      <c r="H99" s="131"/>
      <c r="I99" s="130"/>
      <c r="J99" s="130"/>
    </row>
    <row r="100" spans="1:12" ht="32.25" customHeight="1">
      <c r="A100" s="7"/>
      <c r="B100" s="758" t="s">
        <v>399</v>
      </c>
      <c r="C100" s="594"/>
      <c r="D100" s="130"/>
      <c r="E100" s="130"/>
      <c r="F100" s="130"/>
      <c r="G100" s="131"/>
      <c r="H100" s="131"/>
      <c r="I100" s="130"/>
      <c r="J100" s="130"/>
    </row>
    <row r="101" spans="1:12" ht="7.5" customHeight="1">
      <c r="C101" s="593"/>
      <c r="D101" s="9"/>
      <c r="E101" s="10"/>
      <c r="F101" s="4"/>
      <c r="G101" s="132"/>
      <c r="H101" s="132"/>
    </row>
    <row r="102" spans="1:12" ht="48" hidden="1" thickBot="1">
      <c r="A102" s="133" t="s">
        <v>120</v>
      </c>
      <c r="B102" s="134" t="s">
        <v>121</v>
      </c>
      <c r="C102" s="631"/>
      <c r="D102" s="136">
        <f>D104+D108+D114</f>
        <v>10480740.687000001</v>
      </c>
      <c r="E102" s="136">
        <f>SUM(E104:E121)</f>
        <v>0</v>
      </c>
      <c r="F102" s="136"/>
      <c r="G102" s="136">
        <f>SUM(G104:G121)</f>
        <v>10737461.792365</v>
      </c>
      <c r="H102" s="136"/>
      <c r="I102" s="136">
        <f>SUM(I104:I121)</f>
        <v>9775374.5543750003</v>
      </c>
      <c r="J102" s="365"/>
    </row>
    <row r="103" spans="1:12" ht="15.75" hidden="1">
      <c r="A103" s="137"/>
      <c r="B103" s="138"/>
      <c r="C103" s="632"/>
      <c r="D103" s="140"/>
      <c r="E103" s="140"/>
      <c r="F103" s="140"/>
      <c r="G103" s="140"/>
      <c r="H103" s="140"/>
      <c r="I103" s="140"/>
      <c r="J103" s="140"/>
    </row>
    <row r="104" spans="1:12" ht="24.75" hidden="1">
      <c r="A104" s="73"/>
      <c r="B104" s="141" t="s">
        <v>122</v>
      </c>
      <c r="C104" s="614" t="s">
        <v>123</v>
      </c>
      <c r="D104" s="143">
        <f>G104+I104</f>
        <v>4830199.5</v>
      </c>
      <c r="E104" s="144"/>
      <c r="F104" s="143"/>
      <c r="G104" s="145">
        <v>2685592</v>
      </c>
      <c r="H104" s="145"/>
      <c r="I104" s="145">
        <v>2144607.5</v>
      </c>
      <c r="J104" s="366"/>
    </row>
    <row r="105" spans="1:12" hidden="1">
      <c r="A105" s="73"/>
      <c r="B105" s="58" t="s">
        <v>124</v>
      </c>
      <c r="C105" s="614"/>
      <c r="D105" s="143">
        <v>1839000</v>
      </c>
      <c r="E105" s="144"/>
      <c r="F105" s="143"/>
      <c r="G105" s="145"/>
      <c r="H105" s="145"/>
      <c r="I105" s="145"/>
      <c r="J105" s="366"/>
    </row>
    <row r="106" spans="1:12" hidden="1">
      <c r="A106" s="73"/>
      <c r="B106" s="58" t="s">
        <v>125</v>
      </c>
      <c r="C106" s="614"/>
      <c r="D106" s="143">
        <v>1631000</v>
      </c>
      <c r="E106" s="144"/>
      <c r="F106" s="143"/>
      <c r="G106" s="143">
        <f>24989*1.103*33.765</f>
        <v>930660.20425499999</v>
      </c>
      <c r="H106" s="143"/>
      <c r="I106" s="143">
        <f>33.765*1.103*20902</f>
        <v>778448.90109000006</v>
      </c>
      <c r="J106" s="367"/>
    </row>
    <row r="107" spans="1:12" hidden="1">
      <c r="A107" s="73"/>
      <c r="B107" s="58" t="s">
        <v>126</v>
      </c>
      <c r="C107" s="633"/>
      <c r="D107" s="143">
        <f>D104-D105-D106</f>
        <v>1360199.5</v>
      </c>
      <c r="E107" s="144"/>
      <c r="F107" s="143"/>
      <c r="G107" s="143">
        <f>15338*1.103*33.765+37000</f>
        <v>608229.98970999999</v>
      </c>
      <c r="H107" s="143"/>
      <c r="I107" s="143">
        <f>12543*1.103*33.765+37000</f>
        <v>504136.37768500001</v>
      </c>
      <c r="J107" s="367"/>
    </row>
    <row r="108" spans="1:12" ht="36.75" hidden="1">
      <c r="A108" s="85"/>
      <c r="B108" s="147" t="s">
        <v>127</v>
      </c>
      <c r="C108" s="634" t="s">
        <v>128</v>
      </c>
      <c r="D108" s="143">
        <f t="shared" ref="D108:D113" si="29">G108+I108</f>
        <v>4963466.7870000005</v>
      </c>
      <c r="E108" s="144"/>
      <c r="F108" s="143"/>
      <c r="G108" s="143">
        <f>560182*4.593</f>
        <v>2572915.926</v>
      </c>
      <c r="H108" s="143"/>
      <c r="I108" s="143">
        <f>520477*4.593</f>
        <v>2390550.861</v>
      </c>
      <c r="J108" s="367"/>
    </row>
    <row r="109" spans="1:12" hidden="1">
      <c r="A109" s="85"/>
      <c r="B109" s="149" t="s">
        <v>129</v>
      </c>
      <c r="C109" s="634"/>
      <c r="D109" s="143">
        <f t="shared" si="29"/>
        <v>4189762.1579999998</v>
      </c>
      <c r="E109" s="144"/>
      <c r="F109" s="150"/>
      <c r="G109" s="143">
        <f>434933*4.593</f>
        <v>1997647.2690000001</v>
      </c>
      <c r="H109" s="143"/>
      <c r="I109" s="143">
        <f>477273*4.593</f>
        <v>2192114.889</v>
      </c>
      <c r="J109" s="367"/>
    </row>
    <row r="110" spans="1:12" hidden="1">
      <c r="A110" s="85"/>
      <c r="B110" s="149" t="s">
        <v>130</v>
      </c>
      <c r="C110" s="634"/>
      <c r="D110" s="143">
        <f t="shared" si="29"/>
        <v>773704.62899999996</v>
      </c>
      <c r="E110" s="144"/>
      <c r="F110" s="151"/>
      <c r="G110" s="143">
        <f>82909*4.593</f>
        <v>380801.03700000001</v>
      </c>
      <c r="H110" s="143"/>
      <c r="I110" s="143">
        <f>85544*4.593</f>
        <v>392903.592</v>
      </c>
      <c r="J110" s="367"/>
    </row>
    <row r="111" spans="1:12" ht="15.75" hidden="1">
      <c r="A111" s="85"/>
      <c r="B111" s="147" t="s">
        <v>131</v>
      </c>
      <c r="C111" s="635" t="s">
        <v>132</v>
      </c>
      <c r="D111" s="153">
        <f t="shared" si="29"/>
        <v>77019</v>
      </c>
      <c r="E111" s="144"/>
      <c r="F111" s="143"/>
      <c r="G111" s="143">
        <f>G112+G113</f>
        <v>41227</v>
      </c>
      <c r="H111" s="143"/>
      <c r="I111" s="143">
        <f>I112+I113</f>
        <v>35792</v>
      </c>
      <c r="J111" s="367"/>
    </row>
    <row r="112" spans="1:12" hidden="1">
      <c r="A112" s="85"/>
      <c r="B112" s="149" t="s">
        <v>133</v>
      </c>
      <c r="C112" s="240"/>
      <c r="D112" s="153">
        <f t="shared" si="29"/>
        <v>65013.287183098459</v>
      </c>
      <c r="E112" s="144"/>
      <c r="F112" s="143"/>
      <c r="G112" s="143">
        <v>34800.540005681716</v>
      </c>
      <c r="H112" s="143"/>
      <c r="I112" s="143">
        <v>30212.747177416742</v>
      </c>
      <c r="J112" s="367"/>
    </row>
    <row r="113" spans="1:10" hidden="1">
      <c r="A113" s="85"/>
      <c r="B113" s="149" t="s">
        <v>134</v>
      </c>
      <c r="C113" s="240"/>
      <c r="D113" s="153">
        <f t="shared" si="29"/>
        <v>12005.71281690154</v>
      </c>
      <c r="E113" s="144"/>
      <c r="F113" s="143"/>
      <c r="G113" s="143">
        <v>6426.459994318282</v>
      </c>
      <c r="H113" s="143"/>
      <c r="I113" s="143">
        <v>5579.2528225832575</v>
      </c>
      <c r="J113" s="367"/>
    </row>
    <row r="114" spans="1:10" ht="24.75" hidden="1">
      <c r="A114" s="85"/>
      <c r="B114" s="147" t="s">
        <v>135</v>
      </c>
      <c r="C114" s="634" t="s">
        <v>136</v>
      </c>
      <c r="D114" s="143">
        <f>D116+D115</f>
        <v>687074.39999999991</v>
      </c>
      <c r="E114" s="144"/>
      <c r="F114" s="143"/>
      <c r="G114" s="145">
        <f>D114*0.556</f>
        <v>382013.3664</v>
      </c>
      <c r="H114" s="145"/>
      <c r="I114" s="145">
        <f>D114*0.444</f>
        <v>305061.03359999997</v>
      </c>
      <c r="J114" s="366"/>
    </row>
    <row r="115" spans="1:10" hidden="1">
      <c r="A115" s="85"/>
      <c r="B115" s="149" t="s">
        <v>137</v>
      </c>
      <c r="C115" s="634"/>
      <c r="D115" s="143">
        <f>G115+I115</f>
        <v>280195.19999999995</v>
      </c>
      <c r="E115" s="144"/>
      <c r="F115" s="143"/>
      <c r="G115" s="143">
        <v>109295.99999999999</v>
      </c>
      <c r="H115" s="143"/>
      <c r="I115" s="143">
        <v>170899.19999999995</v>
      </c>
      <c r="J115" s="367"/>
    </row>
    <row r="116" spans="1:10" hidden="1">
      <c r="A116" s="85"/>
      <c r="B116" s="149" t="s">
        <v>133</v>
      </c>
      <c r="C116" s="634"/>
      <c r="D116" s="143">
        <f>G116+I116</f>
        <v>406879.19999999995</v>
      </c>
      <c r="E116" s="144"/>
      <c r="F116" s="143"/>
      <c r="G116" s="143">
        <v>214451.99999999997</v>
      </c>
      <c r="H116" s="143"/>
      <c r="I116" s="143">
        <v>192427.2</v>
      </c>
      <c r="J116" s="367"/>
    </row>
    <row r="117" spans="1:10" ht="18.75" hidden="1">
      <c r="A117" s="85"/>
      <c r="B117" s="154" t="s">
        <v>138</v>
      </c>
      <c r="C117" s="636"/>
      <c r="D117" s="156"/>
      <c r="E117" s="157"/>
      <c r="F117" s="158">
        <f>(D109+D112+D116)/F10/12</f>
        <v>12.164129924157995</v>
      </c>
      <c r="G117" s="143"/>
      <c r="H117" s="143"/>
      <c r="I117" s="143"/>
      <c r="J117" s="367"/>
    </row>
    <row r="118" spans="1:10" ht="18.75" hidden="1">
      <c r="A118" s="85"/>
      <c r="B118" s="154" t="s">
        <v>139</v>
      </c>
      <c r="C118" s="636"/>
      <c r="D118" s="156"/>
      <c r="E118" s="157"/>
      <c r="F118" s="158">
        <f>(D110+D113+D115)/27881</f>
        <v>38.230534837950628</v>
      </c>
      <c r="G118" s="143"/>
      <c r="H118" s="143"/>
      <c r="I118" s="143"/>
      <c r="J118" s="367"/>
    </row>
    <row r="119" spans="1:10" ht="48.75" hidden="1">
      <c r="A119" s="85"/>
      <c r="B119" s="149" t="s">
        <v>140</v>
      </c>
      <c r="C119" s="634" t="s">
        <v>141</v>
      </c>
      <c r="D119" s="143">
        <f>G119+I119</f>
        <v>1140312</v>
      </c>
      <c r="E119" s="144"/>
      <c r="F119" s="143"/>
      <c r="G119" s="143">
        <f>438000+197700</f>
        <v>635700</v>
      </c>
      <c r="H119" s="143"/>
      <c r="I119" s="143">
        <f>157872+346740</f>
        <v>504612</v>
      </c>
      <c r="J119" s="367"/>
    </row>
    <row r="120" spans="1:10" hidden="1">
      <c r="A120" s="159"/>
      <c r="B120" s="160" t="s">
        <v>142</v>
      </c>
      <c r="C120" s="607" t="s">
        <v>143</v>
      </c>
      <c r="D120" s="143">
        <f>G120+I120</f>
        <v>265729</v>
      </c>
      <c r="E120" s="144"/>
      <c r="F120" s="143"/>
      <c r="G120" s="143">
        <v>137700</v>
      </c>
      <c r="H120" s="143"/>
      <c r="I120" s="143">
        <v>128029</v>
      </c>
      <c r="J120" s="367"/>
    </row>
    <row r="121" spans="1:10" hidden="1">
      <c r="A121" s="60"/>
      <c r="B121" s="50"/>
      <c r="C121" s="637"/>
      <c r="D121" s="9">
        <f>D98+D102+D119+D120</f>
        <v>30635553.030000001</v>
      </c>
      <c r="E121" s="163"/>
      <c r="F121" s="4"/>
    </row>
    <row r="122" spans="1:10" hidden="1">
      <c r="B122" s="7" t="s">
        <v>144</v>
      </c>
    </row>
    <row r="123" spans="1:10" hidden="1">
      <c r="B123" t="s">
        <v>145</v>
      </c>
      <c r="D123" s="3">
        <f>F117*F12*12</f>
        <v>4903555.3985068742</v>
      </c>
    </row>
    <row r="124" spans="1:10" hidden="1">
      <c r="B124" t="s">
        <v>146</v>
      </c>
      <c r="D124" s="3">
        <f>F118*27881+1242*0.3717</f>
        <v>1066367.1932169015</v>
      </c>
    </row>
    <row r="125" spans="1:10" hidden="1">
      <c r="B125" s="7" t="s">
        <v>147</v>
      </c>
      <c r="D125" s="3"/>
    </row>
    <row r="126" spans="1:10" hidden="1">
      <c r="B126" t="s">
        <v>145</v>
      </c>
      <c r="D126" s="3">
        <f>D109+D112+D116</f>
        <v>4661654.6451830985</v>
      </c>
    </row>
    <row r="127" spans="1:10" hidden="1">
      <c r="B127" t="s">
        <v>146</v>
      </c>
      <c r="D127" s="3">
        <f>D110+D113+D115</f>
        <v>1065905.5418169014</v>
      </c>
    </row>
    <row r="128" spans="1:10" hidden="1"/>
    <row r="129" spans="1:21" hidden="1">
      <c r="B129" s="7" t="s">
        <v>148</v>
      </c>
      <c r="I129" s="164"/>
      <c r="J129" s="164"/>
    </row>
    <row r="130" spans="1:21" hidden="1">
      <c r="B130" t="s">
        <v>149</v>
      </c>
      <c r="I130" s="5">
        <f>24700*12</f>
        <v>296400</v>
      </c>
    </row>
    <row r="131" spans="1:21" hidden="1">
      <c r="B131" t="s">
        <v>150</v>
      </c>
      <c r="I131" s="5">
        <f>I130*0.302</f>
        <v>89512.8</v>
      </c>
      <c r="K131" s="548">
        <f>SUM(I130:I131)</f>
        <v>385912.8</v>
      </c>
    </row>
    <row r="132" spans="1:21" hidden="1">
      <c r="B132" t="s">
        <v>151</v>
      </c>
    </row>
    <row r="134" spans="1:21" hidden="1">
      <c r="F134" s="4">
        <f>F97+F95+F94+F93+F92+F91+F89+F88+F87+F86+F83+F82+F80+F76+F62+F61+F60+F59+F58+F57+F52+F48+F45</f>
        <v>29.396130510820704</v>
      </c>
      <c r="H134" s="4">
        <f>H97+H95+H94+H93+H92+H91+H89+H88+H87+H86+H83+H82+H80+H76+H62+H61+H60+H59+H58+H57+H52+H48+H45</f>
        <v>29.401681363978241</v>
      </c>
      <c r="J134" s="4">
        <f>J97+J95+J94+J93+J92+J91+J89+J88+J87+J86+J83+J82+J80+J76+J62+J61+J60+J59+J58+J57+J52+J48+J45</f>
        <v>29.404343756603875</v>
      </c>
    </row>
    <row r="135" spans="1:21">
      <c r="F135" s="4"/>
      <c r="H135" s="4"/>
      <c r="J135" s="4"/>
    </row>
    <row r="136" spans="1:21" ht="39.75" customHeight="1" thickBot="1">
      <c r="A136" s="709"/>
      <c r="B136" s="709"/>
      <c r="C136" s="672"/>
      <c r="D136" s="709"/>
      <c r="E136" s="709"/>
      <c r="F136" s="709"/>
      <c r="G136" s="709"/>
      <c r="H136" s="709"/>
      <c r="I136" s="709"/>
      <c r="J136" s="488"/>
      <c r="K136" s="980"/>
      <c r="L136" s="981"/>
      <c r="M136" s="981"/>
      <c r="N136" s="514"/>
      <c r="O136" s="343"/>
      <c r="P136" s="343"/>
      <c r="Q136" s="343"/>
      <c r="R136" s="343"/>
      <c r="S136" s="343"/>
      <c r="T136" s="343"/>
      <c r="U136" s="343"/>
    </row>
    <row r="137" spans="1:21">
      <c r="A137" s="343"/>
      <c r="B137" s="343"/>
      <c r="C137" s="690"/>
      <c r="D137" s="674"/>
      <c r="E137" s="674"/>
      <c r="F137" s="343"/>
      <c r="I137" s="490"/>
      <c r="J137" s="490"/>
      <c r="K137" s="575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</row>
    <row r="138" spans="1:21">
      <c r="A138" s="343"/>
      <c r="B138" s="496"/>
      <c r="C138" s="635"/>
      <c r="D138" s="674"/>
      <c r="E138" s="667"/>
      <c r="F138" s="343"/>
      <c r="I138" s="491"/>
      <c r="J138" s="491"/>
      <c r="K138" s="576"/>
      <c r="L138" s="343"/>
      <c r="M138" s="514"/>
      <c r="N138" s="514"/>
      <c r="O138" s="343"/>
      <c r="P138" s="343"/>
      <c r="Q138" s="343"/>
      <c r="R138" s="343"/>
      <c r="S138" s="343"/>
      <c r="T138" s="343"/>
      <c r="U138" s="343"/>
    </row>
    <row r="139" spans="1:21">
      <c r="A139" s="343"/>
      <c r="B139" s="343"/>
      <c r="C139" s="635"/>
      <c r="D139" s="703"/>
      <c r="E139" s="343"/>
      <c r="F139" s="343"/>
      <c r="I139" s="491"/>
      <c r="J139" s="491"/>
      <c r="K139" s="577"/>
      <c r="L139" s="492"/>
      <c r="M139" s="492"/>
      <c r="N139" s="492"/>
      <c r="O139" s="343"/>
      <c r="P139" s="343"/>
      <c r="Q139" s="343"/>
      <c r="R139" s="343"/>
      <c r="S139" s="343"/>
      <c r="T139" s="343"/>
      <c r="U139" s="343"/>
    </row>
    <row r="140" spans="1:21">
      <c r="A140" s="343"/>
      <c r="B140" s="343"/>
      <c r="C140" s="635"/>
      <c r="D140" s="703"/>
      <c r="E140" s="343"/>
      <c r="F140" s="343"/>
      <c r="I140" s="493"/>
      <c r="J140" s="493"/>
      <c r="K140" s="577"/>
      <c r="L140" s="492"/>
      <c r="M140" s="492"/>
      <c r="N140" s="492"/>
      <c r="O140" s="343"/>
      <c r="P140" s="343"/>
      <c r="Q140" s="343"/>
      <c r="R140" s="343"/>
      <c r="S140" s="343"/>
      <c r="T140" s="343"/>
      <c r="U140" s="343"/>
    </row>
    <row r="141" spans="1:21">
      <c r="A141" s="343"/>
      <c r="B141" s="343"/>
      <c r="C141" s="635"/>
      <c r="D141" s="703"/>
      <c r="E141" s="343"/>
      <c r="F141" s="343"/>
      <c r="I141" s="493"/>
      <c r="J141" s="493"/>
      <c r="K141" s="577"/>
      <c r="L141" s="492"/>
      <c r="M141" s="492"/>
      <c r="N141" s="492"/>
      <c r="O141" s="343"/>
      <c r="P141" s="343"/>
      <c r="Q141" s="343"/>
      <c r="R141" s="343"/>
      <c r="S141" s="343"/>
      <c r="T141" s="343"/>
      <c r="U141" s="343"/>
    </row>
    <row r="142" spans="1:21">
      <c r="A142" s="343"/>
      <c r="B142" s="343"/>
      <c r="C142" s="635"/>
      <c r="D142" s="703"/>
      <c r="E142" s="343"/>
      <c r="F142" s="343"/>
      <c r="I142" s="491"/>
      <c r="J142" s="491"/>
      <c r="K142" s="577"/>
      <c r="L142" s="492"/>
      <c r="M142" s="492"/>
      <c r="N142" s="492"/>
      <c r="O142" s="343"/>
      <c r="P142" s="343"/>
      <c r="Q142" s="343"/>
      <c r="R142" s="343"/>
      <c r="S142" s="343"/>
      <c r="T142" s="343"/>
      <c r="U142" s="343"/>
    </row>
    <row r="143" spans="1:21" ht="15.75" thickBot="1">
      <c r="A143" s="343"/>
      <c r="B143" s="343"/>
      <c r="C143" s="691"/>
      <c r="D143" s="703"/>
      <c r="E143" s="343"/>
      <c r="F143" s="343"/>
      <c r="I143" s="491"/>
      <c r="J143" s="491"/>
      <c r="K143" s="577"/>
      <c r="L143" s="492"/>
      <c r="M143" s="492"/>
      <c r="N143" s="492"/>
      <c r="O143" s="343"/>
      <c r="P143" s="343"/>
      <c r="Q143" s="343"/>
      <c r="R143" s="343"/>
      <c r="S143" s="343"/>
      <c r="T143" s="343"/>
      <c r="U143" s="343"/>
    </row>
    <row r="144" spans="1:21" ht="15.75" customHeight="1" thickBot="1">
      <c r="A144" s="994"/>
      <c r="B144" s="994"/>
      <c r="C144" s="549"/>
      <c r="D144" s="703"/>
      <c r="E144" s="343"/>
      <c r="F144" s="343"/>
      <c r="I144" s="491"/>
      <c r="J144" s="491"/>
      <c r="K144" s="577"/>
      <c r="L144" s="492"/>
      <c r="M144" s="492"/>
      <c r="N144" s="492"/>
      <c r="O144" s="343"/>
      <c r="P144" s="343"/>
      <c r="Q144" s="343"/>
      <c r="R144" s="343"/>
      <c r="S144" s="343"/>
      <c r="T144" s="343"/>
      <c r="U144" s="343"/>
    </row>
    <row r="145" spans="1:21" ht="15.75" customHeight="1">
      <c r="A145" s="994"/>
      <c r="B145" s="994"/>
      <c r="C145" s="692"/>
      <c r="D145" s="703"/>
      <c r="E145" s="343"/>
      <c r="F145" s="343"/>
      <c r="I145" s="491"/>
      <c r="J145" s="491"/>
      <c r="K145" s="577"/>
      <c r="L145" s="492"/>
      <c r="M145" s="492"/>
      <c r="N145" s="492"/>
      <c r="O145" s="343"/>
      <c r="P145" s="343"/>
      <c r="Q145" s="343"/>
      <c r="R145" s="343"/>
      <c r="S145" s="343"/>
      <c r="T145" s="343"/>
      <c r="U145" s="343"/>
    </row>
    <row r="146" spans="1:21">
      <c r="A146" s="991"/>
      <c r="B146" s="991"/>
      <c r="C146" s="635"/>
      <c r="D146" s="704"/>
      <c r="E146" s="343"/>
      <c r="F146" s="343"/>
      <c r="I146" s="491"/>
      <c r="J146" s="491"/>
      <c r="K146" s="577"/>
      <c r="L146" s="492"/>
      <c r="M146" s="492"/>
      <c r="N146" s="492"/>
      <c r="O146" s="343"/>
      <c r="P146" s="343"/>
      <c r="Q146" s="343"/>
      <c r="R146" s="343"/>
      <c r="S146" s="343"/>
      <c r="T146" s="343"/>
      <c r="U146" s="343"/>
    </row>
    <row r="147" spans="1:21" ht="15.75" thickBot="1">
      <c r="A147" s="991"/>
      <c r="B147" s="991"/>
      <c r="C147" s="693"/>
      <c r="D147" s="704"/>
      <c r="E147" s="343"/>
      <c r="F147" s="343"/>
      <c r="I147" s="491"/>
      <c r="J147" s="491"/>
      <c r="K147" s="577"/>
      <c r="L147" s="492"/>
      <c r="M147" s="492"/>
      <c r="N147" s="492"/>
      <c r="O147" s="343"/>
      <c r="P147" s="343"/>
      <c r="Q147" s="343"/>
      <c r="R147" s="343"/>
      <c r="S147" s="343"/>
      <c r="T147" s="343"/>
      <c r="U147" s="343"/>
    </row>
    <row r="148" spans="1:21" ht="15.75" thickBot="1">
      <c r="A148" s="343"/>
      <c r="B148" s="343"/>
      <c r="D148" s="343"/>
      <c r="E148" s="492"/>
      <c r="F148" s="343"/>
      <c r="I148" s="491"/>
      <c r="J148" s="491"/>
      <c r="K148" s="577"/>
      <c r="L148" s="492"/>
      <c r="M148" s="492"/>
      <c r="N148" s="492"/>
      <c r="O148" s="343"/>
      <c r="P148" s="343"/>
      <c r="Q148" s="343"/>
      <c r="R148" s="343"/>
      <c r="S148" s="343"/>
      <c r="T148" s="343"/>
      <c r="U148" s="343"/>
    </row>
    <row r="149" spans="1:21" ht="15.75">
      <c r="A149" s="343"/>
      <c r="B149" s="343"/>
      <c r="C149" s="690"/>
      <c r="D149" s="492"/>
      <c r="E149" s="492"/>
      <c r="F149" s="343"/>
      <c r="I149" s="494"/>
      <c r="J149" s="494"/>
      <c r="K149" s="578"/>
      <c r="L149" s="341"/>
      <c r="M149" s="341"/>
      <c r="N149" s="341"/>
      <c r="O149" s="343"/>
      <c r="P149" s="343"/>
      <c r="Q149" s="343"/>
      <c r="R149" s="343"/>
      <c r="S149" s="343"/>
      <c r="T149" s="343"/>
      <c r="U149" s="343"/>
    </row>
    <row r="150" spans="1:21" ht="15.75">
      <c r="A150" s="343"/>
      <c r="B150" s="528"/>
      <c r="C150" s="575"/>
      <c r="D150" s="992"/>
      <c r="E150" s="993"/>
      <c r="F150" s="343"/>
      <c r="I150" s="493"/>
      <c r="J150" s="493"/>
      <c r="K150" s="579"/>
      <c r="L150" s="495"/>
      <c r="M150" s="495"/>
      <c r="N150" s="495"/>
      <c r="O150" s="492"/>
      <c r="P150" s="343"/>
      <c r="Q150" s="343"/>
      <c r="R150" s="343"/>
      <c r="S150" s="343"/>
      <c r="T150" s="343"/>
      <c r="U150" s="343"/>
    </row>
    <row r="151" spans="1:21" ht="15.75">
      <c r="A151" s="343"/>
      <c r="B151" s="702"/>
      <c r="C151" s="635"/>
      <c r="D151" s="339"/>
      <c r="E151" s="492"/>
      <c r="F151" s="343"/>
      <c r="I151" s="491"/>
      <c r="J151" s="491"/>
      <c r="K151" s="575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</row>
    <row r="152" spans="1:21" ht="15.75" hidden="1">
      <c r="A152" s="682">
        <v>2</v>
      </c>
      <c r="B152" s="710" t="s">
        <v>162</v>
      </c>
      <c r="C152" s="240"/>
      <c r="D152" s="711"/>
      <c r="E152" s="541"/>
      <c r="I152" s="491"/>
      <c r="J152" s="491"/>
      <c r="K152" s="575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</row>
    <row r="153" spans="1:21" ht="15.75">
      <c r="A153" s="994"/>
      <c r="B153" s="994"/>
      <c r="C153" s="635"/>
      <c r="D153" s="707"/>
      <c r="E153" s="343"/>
      <c r="F153" s="343"/>
      <c r="I153" s="491"/>
      <c r="J153" s="491"/>
      <c r="K153" s="575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</row>
    <row r="154" spans="1:21" ht="15.75">
      <c r="A154" s="991"/>
      <c r="B154" s="991"/>
      <c r="C154" s="635"/>
      <c r="D154" s="707"/>
      <c r="E154" s="343"/>
      <c r="F154" s="343"/>
      <c r="I154" s="491"/>
      <c r="J154" s="491"/>
      <c r="K154" s="575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</row>
    <row r="155" spans="1:21" ht="15.75">
      <c r="A155" s="991"/>
      <c r="B155" s="991"/>
      <c r="C155" s="635"/>
      <c r="D155" s="341"/>
      <c r="E155" s="343"/>
      <c r="F155" s="343"/>
      <c r="I155" s="491"/>
      <c r="J155" s="491"/>
      <c r="K155" s="575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</row>
    <row r="156" spans="1:21">
      <c r="A156" s="343"/>
      <c r="B156" s="496"/>
      <c r="C156" s="635"/>
      <c r="D156" s="492"/>
      <c r="E156" s="343"/>
      <c r="F156" s="343"/>
      <c r="I156" s="491"/>
      <c r="J156" s="491"/>
      <c r="K156" s="575"/>
      <c r="L156" s="496"/>
      <c r="M156" s="496"/>
      <c r="N156" s="496"/>
      <c r="O156" s="343"/>
      <c r="P156" s="343"/>
      <c r="Q156" s="343"/>
      <c r="R156" s="343"/>
      <c r="S156" s="343"/>
      <c r="T156" s="343"/>
      <c r="U156" s="343"/>
    </row>
    <row r="157" spans="1:21">
      <c r="A157" s="705"/>
      <c r="B157" s="343"/>
      <c r="C157" s="635"/>
      <c r="D157" s="492"/>
      <c r="E157" s="492"/>
      <c r="F157" s="703"/>
      <c r="I157" s="491"/>
      <c r="J157" s="491"/>
      <c r="K157" s="577"/>
      <c r="L157" s="492"/>
      <c r="M157" s="492"/>
      <c r="N157" s="492"/>
      <c r="O157" s="492"/>
      <c r="P157" s="492"/>
      <c r="Q157" s="343"/>
      <c r="R157" s="343"/>
      <c r="S157" s="343"/>
      <c r="T157" s="343"/>
      <c r="U157" s="343"/>
    </row>
    <row r="158" spans="1:21">
      <c r="A158" s="705"/>
      <c r="B158" s="343"/>
      <c r="C158" s="635"/>
      <c r="D158" s="492"/>
      <c r="E158" s="492"/>
      <c r="F158" s="343"/>
      <c r="I158" s="491"/>
      <c r="J158" s="491"/>
      <c r="K158" s="575"/>
      <c r="L158" s="343"/>
      <c r="M158" s="343"/>
      <c r="N158" s="343"/>
      <c r="O158" s="492"/>
      <c r="P158" s="492"/>
      <c r="Q158" s="343"/>
      <c r="R158" s="343"/>
      <c r="S158" s="343"/>
      <c r="T158" s="343"/>
      <c r="U158" s="343"/>
    </row>
    <row r="159" spans="1:21">
      <c r="A159" s="705"/>
      <c r="B159" s="343"/>
      <c r="C159" s="635"/>
      <c r="D159" s="492"/>
      <c r="E159" s="492"/>
      <c r="F159" s="343"/>
      <c r="I159" s="491"/>
      <c r="J159" s="491"/>
      <c r="K159" s="575"/>
      <c r="L159" s="343"/>
      <c r="M159" s="343"/>
      <c r="N159" s="343"/>
      <c r="O159" s="492"/>
      <c r="P159" s="492"/>
      <c r="Q159" s="343"/>
      <c r="R159" s="343"/>
      <c r="S159" s="343"/>
      <c r="T159" s="343"/>
      <c r="U159" s="343"/>
    </row>
    <row r="160" spans="1:21">
      <c r="A160" s="705"/>
      <c r="B160" s="343"/>
      <c r="C160" s="635"/>
      <c r="D160" s="492"/>
      <c r="E160" s="492"/>
      <c r="F160" s="343"/>
      <c r="I160" s="491"/>
      <c r="J160" s="491"/>
      <c r="K160" s="577"/>
      <c r="L160" s="492"/>
      <c r="M160" s="492"/>
      <c r="N160" s="492"/>
      <c r="O160" s="492"/>
      <c r="P160" s="492"/>
      <c r="Q160" s="343"/>
      <c r="R160" s="343"/>
      <c r="S160" s="343"/>
      <c r="T160" s="343"/>
      <c r="U160" s="343"/>
    </row>
    <row r="161" spans="1:21">
      <c r="A161" s="705"/>
      <c r="B161" s="343"/>
      <c r="C161" s="635"/>
      <c r="D161" s="492"/>
      <c r="E161" s="492"/>
      <c r="F161" s="343"/>
      <c r="I161" s="491"/>
      <c r="J161" s="491"/>
      <c r="K161" s="577"/>
      <c r="L161" s="492"/>
      <c r="M161" s="492"/>
      <c r="N161" s="492"/>
      <c r="O161" s="492"/>
      <c r="P161" s="492"/>
      <c r="Q161" s="343"/>
      <c r="R161" s="343"/>
      <c r="S161" s="343"/>
      <c r="T161" s="343"/>
      <c r="U161" s="343"/>
    </row>
    <row r="162" spans="1:21">
      <c r="A162" s="705"/>
      <c r="B162" s="343"/>
      <c r="C162" s="635"/>
      <c r="D162" s="492"/>
      <c r="E162" s="492"/>
      <c r="F162" s="343"/>
      <c r="I162" s="491"/>
      <c r="J162" s="491"/>
      <c r="K162" s="577"/>
      <c r="L162" s="492"/>
      <c r="M162" s="492"/>
      <c r="N162" s="492"/>
      <c r="O162" s="492"/>
      <c r="P162" s="492"/>
      <c r="Q162" s="343"/>
      <c r="R162" s="343"/>
      <c r="S162" s="343"/>
      <c r="T162" s="343"/>
      <c r="U162" s="343"/>
    </row>
    <row r="163" spans="1:21">
      <c r="A163" s="705"/>
      <c r="B163" s="343"/>
      <c r="C163" s="635"/>
      <c r="D163" s="708"/>
      <c r="E163" s="492"/>
      <c r="F163" s="343"/>
      <c r="I163" s="491"/>
      <c r="J163" s="491"/>
      <c r="K163" s="577"/>
      <c r="L163" s="492"/>
      <c r="M163" s="492"/>
      <c r="N163" s="492"/>
      <c r="O163" s="492"/>
      <c r="P163" s="492"/>
      <c r="Q163" s="343"/>
      <c r="R163" s="343"/>
      <c r="S163" s="343"/>
      <c r="T163" s="343"/>
      <c r="U163" s="343"/>
    </row>
    <row r="164" spans="1:21">
      <c r="A164" s="705"/>
      <c r="B164" s="343"/>
      <c r="C164" s="635"/>
      <c r="D164" s="708"/>
      <c r="E164" s="492"/>
      <c r="F164" s="343"/>
      <c r="I164" s="491"/>
      <c r="J164" s="491"/>
      <c r="K164" s="577"/>
      <c r="L164" s="492"/>
      <c r="M164" s="492"/>
      <c r="N164" s="492"/>
      <c r="O164" s="492"/>
      <c r="P164" s="492"/>
      <c r="Q164" s="343"/>
      <c r="R164" s="343"/>
      <c r="S164" s="343"/>
      <c r="T164" s="343"/>
      <c r="U164" s="343"/>
    </row>
    <row r="165" spans="1:21">
      <c r="A165" s="705"/>
      <c r="B165" s="674"/>
      <c r="C165" s="635"/>
      <c r="D165" s="708"/>
      <c r="E165" s="708"/>
      <c r="F165" s="343"/>
      <c r="I165" s="491"/>
      <c r="J165" s="491"/>
      <c r="K165" s="577"/>
      <c r="L165" s="492"/>
      <c r="M165" s="492"/>
      <c r="N165" s="492"/>
      <c r="O165" s="492"/>
      <c r="P165" s="492"/>
      <c r="Q165" s="343"/>
      <c r="R165" s="343"/>
      <c r="S165" s="343"/>
      <c r="T165" s="343"/>
      <c r="U165" s="343"/>
    </row>
    <row r="166" spans="1:21" ht="15.75">
      <c r="A166" s="705"/>
      <c r="B166" s="343"/>
      <c r="C166" s="635"/>
      <c r="D166" s="708"/>
      <c r="E166" s="708"/>
      <c r="F166" s="343"/>
      <c r="I166" s="494"/>
      <c r="J166" s="494"/>
      <c r="K166" s="578"/>
      <c r="L166" s="341"/>
      <c r="M166" s="341"/>
      <c r="N166" s="341"/>
      <c r="O166" s="343"/>
      <c r="P166" s="343"/>
      <c r="Q166" s="343"/>
      <c r="R166" s="343"/>
      <c r="S166" s="343"/>
      <c r="T166" s="343"/>
      <c r="U166" s="343"/>
    </row>
    <row r="167" spans="1:21">
      <c r="A167" s="705"/>
      <c r="B167" s="674"/>
      <c r="C167" s="635"/>
      <c r="D167" s="708"/>
      <c r="E167" s="708"/>
      <c r="F167" s="343"/>
      <c r="I167" s="493"/>
      <c r="J167" s="493"/>
      <c r="K167" s="579"/>
      <c r="L167" s="495"/>
      <c r="M167" s="495"/>
      <c r="N167" s="495"/>
      <c r="O167" s="978"/>
      <c r="P167" s="979"/>
      <c r="Q167" s="343"/>
      <c r="R167" s="343"/>
      <c r="S167" s="343"/>
      <c r="T167" s="343"/>
      <c r="U167" s="343"/>
    </row>
    <row r="168" spans="1:21" s="173" customFormat="1" ht="16.5" thickBot="1">
      <c r="A168" s="498"/>
      <c r="B168" s="498"/>
      <c r="C168" s="694"/>
      <c r="D168" s="497"/>
      <c r="E168" s="497"/>
      <c r="F168" s="498"/>
      <c r="I168" s="491"/>
      <c r="J168" s="491"/>
      <c r="K168" s="575"/>
      <c r="L168" s="343"/>
      <c r="M168" s="343"/>
      <c r="N168" s="343"/>
      <c r="O168" s="497"/>
      <c r="P168" s="498"/>
      <c r="Q168" s="498"/>
      <c r="R168" s="498"/>
      <c r="S168" s="498"/>
      <c r="T168" s="498"/>
      <c r="U168" s="498"/>
    </row>
    <row r="169" spans="1:21" ht="15.75" thickBot="1">
      <c r="A169" s="343"/>
      <c r="B169" s="343"/>
      <c r="D169" s="343"/>
      <c r="E169" s="343"/>
      <c r="F169" s="343"/>
      <c r="J169" s="491"/>
      <c r="K169" s="575"/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</row>
    <row r="170" spans="1:21" ht="15.75">
      <c r="A170" s="343"/>
      <c r="B170" s="528"/>
      <c r="C170" s="695" t="s">
        <v>179</v>
      </c>
      <c r="D170" s="992"/>
      <c r="E170" s="993"/>
      <c r="F170" s="343"/>
      <c r="J170" s="491"/>
      <c r="K170" s="575"/>
      <c r="L170" s="343"/>
      <c r="M170" s="343"/>
      <c r="N170" s="343"/>
      <c r="O170" s="492"/>
      <c r="P170" s="343"/>
      <c r="Q170" s="343"/>
      <c r="R170" s="343"/>
      <c r="S170" s="343"/>
      <c r="T170" s="343"/>
      <c r="U170" s="343"/>
    </row>
    <row r="171" spans="1:21" ht="36" customHeight="1">
      <c r="A171" s="343"/>
      <c r="B171" s="706"/>
      <c r="C171" s="635"/>
      <c r="D171" s="497"/>
      <c r="E171" s="492"/>
      <c r="F171" s="343"/>
      <c r="J171" s="491"/>
      <c r="K171" s="575"/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</row>
    <row r="172" spans="1:21" ht="16.5" hidden="1" customHeight="1">
      <c r="A172" s="682"/>
      <c r="B172" s="712" t="s">
        <v>182</v>
      </c>
      <c r="C172" s="240"/>
      <c r="D172" s="713"/>
      <c r="E172" s="541"/>
      <c r="J172" s="491"/>
      <c r="K172" s="575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</row>
    <row r="173" spans="1:21">
      <c r="A173" s="343"/>
      <c r="B173" s="496"/>
      <c r="C173" s="635"/>
      <c r="D173" s="703"/>
      <c r="E173" s="343"/>
      <c r="F173" s="343"/>
      <c r="J173" s="491"/>
      <c r="K173" s="575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</row>
    <row r="174" spans="1:21">
      <c r="A174" s="343"/>
      <c r="B174" s="343"/>
      <c r="C174" s="696">
        <v>1131730.8631018416</v>
      </c>
      <c r="D174" s="492"/>
      <c r="E174" s="492"/>
      <c r="F174" s="343"/>
      <c r="J174" s="491"/>
      <c r="K174" s="575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</row>
    <row r="175" spans="1:21">
      <c r="A175" s="343"/>
      <c r="B175" s="575"/>
      <c r="C175" s="696">
        <v>90925.338325991193</v>
      </c>
      <c r="D175" s="492"/>
      <c r="E175" s="492"/>
      <c r="F175" s="343"/>
      <c r="J175" s="491"/>
      <c r="K175" s="575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</row>
    <row r="176" spans="1:21">
      <c r="A176" s="343"/>
      <c r="B176" s="343"/>
      <c r="C176" s="696">
        <v>1222656.2014278329</v>
      </c>
      <c r="D176" s="492"/>
      <c r="E176" s="492"/>
      <c r="F176" s="343"/>
    </row>
    <row r="177" spans="1:14">
      <c r="A177" s="343"/>
      <c r="B177" s="343"/>
      <c r="C177" s="635">
        <v>75014</v>
      </c>
      <c r="D177" s="492"/>
      <c r="E177" s="492"/>
      <c r="F177" s="343"/>
    </row>
    <row r="178" spans="1:14">
      <c r="A178" s="343"/>
      <c r="B178" s="343"/>
      <c r="C178" s="635">
        <v>75014</v>
      </c>
      <c r="D178" s="492"/>
      <c r="E178" s="492"/>
      <c r="F178" s="343"/>
    </row>
    <row r="179" spans="1:14">
      <c r="A179" s="343"/>
      <c r="B179" s="343"/>
      <c r="C179" s="635"/>
      <c r="D179" s="492"/>
      <c r="E179" s="492"/>
      <c r="F179" s="343"/>
    </row>
    <row r="180" spans="1:14">
      <c r="A180" s="343"/>
      <c r="B180" s="343"/>
      <c r="C180" s="635"/>
      <c r="D180" s="492"/>
      <c r="E180" s="492"/>
      <c r="F180" s="343"/>
    </row>
    <row r="181" spans="1:14" ht="15.75">
      <c r="A181" s="343"/>
      <c r="B181" s="343"/>
      <c r="C181" s="635"/>
      <c r="D181" s="492"/>
      <c r="E181" s="492"/>
      <c r="F181" s="343"/>
      <c r="I181" s="173"/>
      <c r="J181" s="173"/>
      <c r="K181" s="580"/>
      <c r="L181" s="173"/>
      <c r="M181" s="173"/>
      <c r="N181" s="173"/>
    </row>
    <row r="182" spans="1:14">
      <c r="A182" s="343"/>
      <c r="B182" s="343"/>
      <c r="C182" s="635"/>
      <c r="D182" s="492"/>
      <c r="E182" s="492"/>
      <c r="F182" s="343"/>
    </row>
    <row r="183" spans="1:14">
      <c r="A183" s="343"/>
      <c r="B183" s="343"/>
      <c r="C183" s="635"/>
      <c r="D183" s="492"/>
      <c r="E183" s="492"/>
      <c r="F183" s="343"/>
    </row>
    <row r="184" spans="1:14" ht="18.75">
      <c r="A184" s="343"/>
      <c r="B184" s="343"/>
      <c r="C184" s="635"/>
      <c r="D184" s="492"/>
      <c r="E184" s="492"/>
      <c r="F184" s="343"/>
      <c r="I184" s="176"/>
      <c r="J184" s="176"/>
      <c r="K184" s="581"/>
      <c r="L184" s="176"/>
      <c r="M184" s="176"/>
      <c r="N184" s="176"/>
    </row>
    <row r="185" spans="1:14" s="173" customFormat="1" ht="16.5" thickBot="1">
      <c r="A185" s="498"/>
      <c r="B185" s="498"/>
      <c r="C185" s="694"/>
      <c r="D185" s="497"/>
      <c r="E185" s="497"/>
      <c r="F185" s="498"/>
      <c r="I185" s="5"/>
      <c r="J185" s="5"/>
      <c r="K185" s="548"/>
      <c r="L185"/>
      <c r="M185"/>
      <c r="N185"/>
    </row>
    <row r="186" spans="1:14">
      <c r="A186" s="343"/>
      <c r="B186" s="343"/>
      <c r="D186" s="343"/>
      <c r="E186" s="343"/>
      <c r="F186" s="343"/>
      <c r="I186" s="184"/>
      <c r="J186" s="184"/>
      <c r="K186" s="582"/>
      <c r="L186" s="50"/>
      <c r="M186" s="50"/>
      <c r="N186" s="50"/>
    </row>
    <row r="187" spans="1:14">
      <c r="A187" s="343"/>
      <c r="B187" s="343"/>
      <c r="D187" s="343"/>
      <c r="E187" s="343"/>
      <c r="F187" s="343"/>
      <c r="I187" s="184"/>
      <c r="J187" s="184"/>
      <c r="K187" s="582"/>
      <c r="L187" s="50"/>
      <c r="M187" s="50"/>
      <c r="N187" s="50"/>
    </row>
    <row r="188" spans="1:14" s="176" customFormat="1" ht="63.75" hidden="1">
      <c r="B188" s="176" t="s">
        <v>192</v>
      </c>
      <c r="C188" s="581" t="s">
        <v>193</v>
      </c>
      <c r="D188" s="177" t="s">
        <v>194</v>
      </c>
      <c r="E188" s="177" t="s">
        <v>195</v>
      </c>
      <c r="F188" s="177" t="s">
        <v>196</v>
      </c>
      <c r="I188" s="184"/>
      <c r="J188" s="184"/>
      <c r="K188" s="582"/>
      <c r="L188" s="50"/>
      <c r="M188" s="50"/>
      <c r="N188" s="50"/>
    </row>
    <row r="189" spans="1:14" ht="15.75" hidden="1" thickBot="1">
      <c r="B189" s="178" t="s">
        <v>197</v>
      </c>
      <c r="C189" s="646"/>
      <c r="D189" s="179">
        <v>38</v>
      </c>
      <c r="E189" s="180">
        <v>51</v>
      </c>
      <c r="F189" s="179">
        <v>73</v>
      </c>
      <c r="I189" s="184"/>
      <c r="J189" s="184"/>
      <c r="K189" s="582"/>
      <c r="L189" s="50"/>
      <c r="M189" s="50"/>
      <c r="N189" s="50"/>
    </row>
    <row r="190" spans="1:14" s="50" customFormat="1" ht="31.5" hidden="1" customHeight="1">
      <c r="B190" s="181" t="s">
        <v>198</v>
      </c>
      <c r="C190" s="647">
        <f>F25</f>
        <v>29.396130510820708</v>
      </c>
      <c r="D190" s="183">
        <f>$C190*D189</f>
        <v>1117.052959411187</v>
      </c>
      <c r="E190" s="183">
        <f>$C190*E189</f>
        <v>1499.2026560518561</v>
      </c>
      <c r="F190" s="183">
        <f>$C190*F189</f>
        <v>2145.9175272899115</v>
      </c>
      <c r="I190" s="184"/>
      <c r="J190" s="184"/>
      <c r="K190" s="582"/>
    </row>
    <row r="191" spans="1:14" s="50" customFormat="1" hidden="1">
      <c r="B191" s="181" t="s">
        <v>199</v>
      </c>
      <c r="C191" s="582">
        <v>13.5</v>
      </c>
      <c r="D191" s="183">
        <f>$C191*D189</f>
        <v>513</v>
      </c>
      <c r="E191" s="183">
        <f>$C191*E189</f>
        <v>688.5</v>
      </c>
      <c r="F191" s="183">
        <f>$C191*F189</f>
        <v>985.5</v>
      </c>
      <c r="I191" s="184"/>
      <c r="J191" s="184"/>
      <c r="K191" s="582"/>
    </row>
    <row r="192" spans="1:14" s="50" customFormat="1" hidden="1">
      <c r="B192" s="181" t="s">
        <v>200</v>
      </c>
      <c r="C192" s="582">
        <v>78</v>
      </c>
      <c r="D192" s="183">
        <f>$D193*C192</f>
        <v>156</v>
      </c>
      <c r="E192" s="183">
        <f t="shared" ref="E192:F192" si="30">$D193*D192</f>
        <v>312</v>
      </c>
      <c r="F192" s="183">
        <f t="shared" si="30"/>
        <v>624</v>
      </c>
      <c r="I192" s="184"/>
      <c r="J192" s="184"/>
      <c r="K192" s="582"/>
    </row>
    <row r="193" spans="2:14" s="50" customFormat="1" hidden="1">
      <c r="B193" s="50" t="s">
        <v>201</v>
      </c>
      <c r="C193" s="582"/>
      <c r="D193" s="183">
        <v>2</v>
      </c>
      <c r="E193" s="183">
        <v>4</v>
      </c>
      <c r="F193" s="183">
        <v>6</v>
      </c>
      <c r="I193" s="184"/>
      <c r="J193" s="184"/>
      <c r="K193" s="582"/>
    </row>
    <row r="194" spans="2:14" s="50" customFormat="1" hidden="1">
      <c r="B194" s="181" t="s">
        <v>202</v>
      </c>
      <c r="C194" s="582">
        <v>38.06</v>
      </c>
      <c r="D194" s="183">
        <f>$C194*D195</f>
        <v>152.24</v>
      </c>
      <c r="E194" s="183">
        <f t="shared" ref="E194:F194" si="31">$C194*E195</f>
        <v>304.48</v>
      </c>
      <c r="F194" s="183">
        <f t="shared" si="31"/>
        <v>456.72</v>
      </c>
      <c r="I194" s="184"/>
      <c r="J194" s="184"/>
      <c r="K194" s="582"/>
    </row>
    <row r="195" spans="2:14" s="50" customFormat="1" hidden="1">
      <c r="B195" s="50" t="s">
        <v>203</v>
      </c>
      <c r="C195" s="582"/>
      <c r="D195" s="183">
        <v>4</v>
      </c>
      <c r="E195" s="183">
        <v>8</v>
      </c>
      <c r="F195" s="183">
        <v>12</v>
      </c>
      <c r="I195" s="184"/>
      <c r="J195" s="184"/>
      <c r="K195" s="582"/>
    </row>
    <row r="196" spans="2:14" s="50" customFormat="1" hidden="1">
      <c r="B196" s="181" t="s">
        <v>170</v>
      </c>
      <c r="C196" s="582">
        <v>27.01</v>
      </c>
      <c r="D196" s="183">
        <f>$C196*D197</f>
        <v>162.06</v>
      </c>
      <c r="E196" s="183">
        <f t="shared" ref="E196:F196" si="32">$C196*E197</f>
        <v>324.12</v>
      </c>
      <c r="F196" s="183">
        <f t="shared" si="32"/>
        <v>486.18</v>
      </c>
      <c r="I196" s="184"/>
      <c r="J196" s="184"/>
      <c r="K196" s="582"/>
    </row>
    <row r="197" spans="2:14" s="50" customFormat="1" hidden="1">
      <c r="B197" s="185" t="s">
        <v>204</v>
      </c>
      <c r="C197" s="582"/>
      <c r="D197" s="183">
        <f>D195+D193</f>
        <v>6</v>
      </c>
      <c r="E197" s="183">
        <f t="shared" ref="E197:F197" si="33">E195+E193</f>
        <v>12</v>
      </c>
      <c r="F197" s="183">
        <f t="shared" si="33"/>
        <v>18</v>
      </c>
      <c r="I197" s="184"/>
      <c r="J197" s="184"/>
      <c r="K197" s="582"/>
    </row>
    <row r="198" spans="2:14" s="50" customFormat="1" hidden="1">
      <c r="B198" s="181" t="s">
        <v>62</v>
      </c>
      <c r="C198" s="582">
        <v>25</v>
      </c>
      <c r="D198" s="183">
        <f>C198</f>
        <v>25</v>
      </c>
      <c r="E198" s="183">
        <f t="shared" ref="E198:F200" si="34">D198</f>
        <v>25</v>
      </c>
      <c r="F198" s="183">
        <f t="shared" si="34"/>
        <v>25</v>
      </c>
      <c r="I198" s="5"/>
      <c r="J198" s="5"/>
      <c r="K198" s="548"/>
      <c r="L198"/>
      <c r="M198"/>
      <c r="N198"/>
    </row>
    <row r="199" spans="2:14" s="50" customFormat="1" ht="18.75" hidden="1">
      <c r="B199" s="181" t="s">
        <v>205</v>
      </c>
      <c r="C199" s="582">
        <v>149</v>
      </c>
      <c r="D199" s="183">
        <f>C199</f>
        <v>149</v>
      </c>
      <c r="E199" s="183">
        <f t="shared" si="34"/>
        <v>149</v>
      </c>
      <c r="F199" s="183">
        <f t="shared" si="34"/>
        <v>149</v>
      </c>
      <c r="I199" s="176"/>
      <c r="J199" s="176"/>
      <c r="K199" s="581"/>
      <c r="L199" s="176"/>
      <c r="M199" s="176"/>
      <c r="N199" s="176"/>
    </row>
    <row r="200" spans="2:14" s="50" customFormat="1" hidden="1">
      <c r="B200" s="181" t="s">
        <v>206</v>
      </c>
      <c r="C200" s="582">
        <v>105.02</v>
      </c>
      <c r="D200" s="183">
        <f>C200</f>
        <v>105.02</v>
      </c>
      <c r="E200" s="183">
        <f t="shared" si="34"/>
        <v>105.02</v>
      </c>
      <c r="F200" s="183">
        <f t="shared" si="34"/>
        <v>105.02</v>
      </c>
      <c r="I200" s="5"/>
      <c r="J200" s="5"/>
      <c r="K200" s="548"/>
      <c r="L200"/>
      <c r="M200"/>
      <c r="N200"/>
    </row>
    <row r="201" spans="2:14" s="50" customFormat="1" ht="15.75" hidden="1">
      <c r="B201" s="186" t="s">
        <v>21</v>
      </c>
      <c r="C201" s="648"/>
      <c r="D201" s="187">
        <f>D200+D199+D198+D196+D194+D192+D191+D190</f>
        <v>2379.3729594111869</v>
      </c>
      <c r="E201" s="187">
        <f t="shared" ref="E201" si="35">E200+E199+E198+E196+E194+E192+E191+E190</f>
        <v>3407.322656051856</v>
      </c>
      <c r="F201" s="187">
        <f>F200+F199+F198+F196+F194+F192+F191+F190</f>
        <v>4977.337527289912</v>
      </c>
      <c r="I201" s="184"/>
      <c r="J201" s="184"/>
      <c r="K201" s="582"/>
    </row>
    <row r="202" spans="2:14" hidden="1">
      <c r="I202" s="184"/>
      <c r="J202" s="184"/>
      <c r="K202" s="582"/>
      <c r="L202" s="50"/>
      <c r="M202" s="50"/>
      <c r="N202" s="50"/>
    </row>
    <row r="203" spans="2:14" s="176" customFormat="1" ht="63.75" hidden="1">
      <c r="B203" s="176" t="s">
        <v>207</v>
      </c>
      <c r="C203" s="581" t="s">
        <v>193</v>
      </c>
      <c r="D203" s="177" t="s">
        <v>194</v>
      </c>
      <c r="E203" s="177" t="s">
        <v>195</v>
      </c>
      <c r="F203" s="177" t="s">
        <v>196</v>
      </c>
      <c r="I203" s="184"/>
      <c r="J203" s="184"/>
      <c r="K203" s="582"/>
      <c r="L203" s="50"/>
      <c r="M203" s="50"/>
      <c r="N203" s="50"/>
    </row>
    <row r="204" spans="2:14" ht="15.75" hidden="1" thickBot="1">
      <c r="B204" s="178" t="s">
        <v>197</v>
      </c>
      <c r="C204" s="646"/>
      <c r="D204" s="179">
        <v>38</v>
      </c>
      <c r="E204" s="180">
        <v>51</v>
      </c>
      <c r="F204" s="179">
        <v>73</v>
      </c>
      <c r="I204" s="184"/>
      <c r="J204" s="184"/>
      <c r="K204" s="582"/>
      <c r="L204" s="50"/>
      <c r="M204" s="50"/>
      <c r="N204" s="50"/>
    </row>
    <row r="205" spans="2:14" s="50" customFormat="1" ht="19.5" hidden="1" customHeight="1">
      <c r="B205" s="181" t="s">
        <v>208</v>
      </c>
      <c r="C205" s="647"/>
      <c r="D205" s="183"/>
      <c r="E205" s="183"/>
      <c r="F205" s="183"/>
      <c r="I205" s="184"/>
      <c r="J205" s="184"/>
      <c r="K205" s="582"/>
    </row>
    <row r="206" spans="2:14" s="50" customFormat="1" ht="18" hidden="1" customHeight="1">
      <c r="B206" s="181" t="s">
        <v>209</v>
      </c>
      <c r="C206" s="647" t="e">
        <f>F25-F27-#REF!</f>
        <v>#REF!</v>
      </c>
      <c r="D206" s="183" t="e">
        <f>$C206*D204</f>
        <v>#REF!</v>
      </c>
      <c r="E206" s="183" t="e">
        <f t="shared" ref="E206:F206" si="36">$C206*E204</f>
        <v>#REF!</v>
      </c>
      <c r="F206" s="183" t="e">
        <f t="shared" si="36"/>
        <v>#REF!</v>
      </c>
      <c r="I206" s="184"/>
      <c r="J206" s="184"/>
      <c r="K206" s="582"/>
    </row>
    <row r="207" spans="2:14" s="50" customFormat="1" ht="31.5" hidden="1" customHeight="1">
      <c r="B207" s="181" t="s">
        <v>210</v>
      </c>
      <c r="C207" s="647">
        <f>F27</f>
        <v>9.7437214102144303</v>
      </c>
      <c r="D207" s="183">
        <f>$C207*D204</f>
        <v>370.26141358814834</v>
      </c>
      <c r="E207" s="183">
        <f t="shared" ref="E207:F207" si="37">$C207*E204</f>
        <v>496.92979192093594</v>
      </c>
      <c r="F207" s="183">
        <f t="shared" si="37"/>
        <v>711.29166294565346</v>
      </c>
      <c r="I207" s="184"/>
      <c r="J207" s="184"/>
      <c r="K207" s="582"/>
    </row>
    <row r="208" spans="2:14" s="50" customFormat="1" hidden="1">
      <c r="B208" s="181" t="s">
        <v>199</v>
      </c>
      <c r="C208" s="582">
        <v>13.5</v>
      </c>
      <c r="D208" s="183">
        <f>$C208*D204</f>
        <v>513</v>
      </c>
      <c r="E208" s="183">
        <f>$C208*E204</f>
        <v>688.5</v>
      </c>
      <c r="F208" s="183">
        <f>$C208*F204</f>
        <v>985.5</v>
      </c>
      <c r="I208" s="184"/>
      <c r="J208" s="184"/>
      <c r="K208" s="582"/>
    </row>
    <row r="209" spans="2:14" s="50" customFormat="1" hidden="1">
      <c r="B209" s="181" t="s">
        <v>200</v>
      </c>
      <c r="C209" s="582">
        <v>78</v>
      </c>
      <c r="D209" s="183">
        <f>$D210*C209</f>
        <v>156</v>
      </c>
      <c r="E209" s="183">
        <f t="shared" ref="E209:F209" si="38">$D210*D209</f>
        <v>312</v>
      </c>
      <c r="F209" s="183">
        <f t="shared" si="38"/>
        <v>624</v>
      </c>
      <c r="I209" s="184"/>
      <c r="J209" s="184"/>
      <c r="K209" s="582"/>
    </row>
    <row r="210" spans="2:14" s="50" customFormat="1" hidden="1">
      <c r="B210" s="50" t="s">
        <v>201</v>
      </c>
      <c r="C210" s="582"/>
      <c r="D210" s="183">
        <v>2</v>
      </c>
      <c r="E210" s="183">
        <v>4</v>
      </c>
      <c r="F210" s="183">
        <v>6</v>
      </c>
      <c r="I210" s="184"/>
      <c r="J210" s="184"/>
      <c r="K210" s="582"/>
    </row>
    <row r="211" spans="2:14" s="50" customFormat="1" hidden="1">
      <c r="B211" s="181" t="s">
        <v>202</v>
      </c>
      <c r="C211" s="582">
        <v>38.06</v>
      </c>
      <c r="D211" s="183">
        <f>$C211*D212</f>
        <v>152.24</v>
      </c>
      <c r="E211" s="183">
        <f t="shared" ref="E211:F211" si="39">$C211*E212</f>
        <v>304.48</v>
      </c>
      <c r="F211" s="183">
        <f t="shared" si="39"/>
        <v>456.72</v>
      </c>
      <c r="I211" s="184"/>
      <c r="J211" s="184"/>
      <c r="K211" s="582"/>
    </row>
    <row r="212" spans="2:14" s="50" customFormat="1" hidden="1">
      <c r="B212" s="50" t="s">
        <v>203</v>
      </c>
      <c r="C212" s="582"/>
      <c r="D212" s="183">
        <v>4</v>
      </c>
      <c r="E212" s="183">
        <v>8</v>
      </c>
      <c r="F212" s="183">
        <v>12</v>
      </c>
      <c r="I212" s="184"/>
      <c r="J212" s="184"/>
      <c r="K212" s="582"/>
    </row>
    <row r="213" spans="2:14" s="50" customFormat="1" hidden="1">
      <c r="B213" s="181" t="s">
        <v>170</v>
      </c>
      <c r="C213" s="582">
        <v>27.01</v>
      </c>
      <c r="D213" s="183">
        <f>$C213*D214</f>
        <v>162.06</v>
      </c>
      <c r="E213" s="183">
        <f t="shared" ref="E213:F213" si="40">$C213*E214</f>
        <v>324.12</v>
      </c>
      <c r="F213" s="183">
        <f t="shared" si="40"/>
        <v>486.18</v>
      </c>
      <c r="I213" s="184"/>
      <c r="J213" s="184"/>
      <c r="K213" s="582"/>
    </row>
    <row r="214" spans="2:14" s="50" customFormat="1" hidden="1">
      <c r="B214" s="185" t="s">
        <v>204</v>
      </c>
      <c r="C214" s="582"/>
      <c r="D214" s="183">
        <f>D212+D210</f>
        <v>6</v>
      </c>
      <c r="E214" s="183">
        <f t="shared" ref="E214:F214" si="41">E212+E210</f>
        <v>12</v>
      </c>
      <c r="F214" s="183">
        <f t="shared" si="41"/>
        <v>18</v>
      </c>
      <c r="I214" s="184"/>
      <c r="J214" s="184"/>
      <c r="K214" s="582"/>
    </row>
    <row r="215" spans="2:14" s="50" customFormat="1" hidden="1">
      <c r="B215" s="181" t="s">
        <v>62</v>
      </c>
      <c r="C215" s="582">
        <v>25</v>
      </c>
      <c r="D215" s="183">
        <f>C215</f>
        <v>25</v>
      </c>
      <c r="E215" s="183">
        <f t="shared" ref="E215:F217" si="42">D215</f>
        <v>25</v>
      </c>
      <c r="F215" s="183">
        <f t="shared" si="42"/>
        <v>25</v>
      </c>
      <c r="I215" s="184"/>
      <c r="J215" s="184"/>
      <c r="K215" s="582"/>
    </row>
    <row r="216" spans="2:14" s="50" customFormat="1" hidden="1">
      <c r="B216" s="181" t="s">
        <v>205</v>
      </c>
      <c r="C216" s="582">
        <v>149</v>
      </c>
      <c r="D216" s="183">
        <f>C216</f>
        <v>149</v>
      </c>
      <c r="E216" s="183">
        <f t="shared" si="42"/>
        <v>149</v>
      </c>
      <c r="F216" s="183">
        <f t="shared" si="42"/>
        <v>149</v>
      </c>
      <c r="I216" s="5"/>
      <c r="J216" s="5"/>
      <c r="K216" s="548"/>
      <c r="L216"/>
      <c r="M216"/>
      <c r="N216"/>
    </row>
    <row r="217" spans="2:14" s="50" customFormat="1" hidden="1">
      <c r="B217" s="181" t="s">
        <v>206</v>
      </c>
      <c r="C217" s="582">
        <v>105.02</v>
      </c>
      <c r="D217" s="183">
        <f>C217</f>
        <v>105.02</v>
      </c>
      <c r="E217" s="183">
        <f t="shared" si="42"/>
        <v>105.02</v>
      </c>
      <c r="F217" s="183">
        <f t="shared" si="42"/>
        <v>105.02</v>
      </c>
      <c r="I217" s="5"/>
      <c r="J217" s="5"/>
      <c r="K217" s="548"/>
      <c r="L217"/>
      <c r="M217"/>
      <c r="N217"/>
    </row>
    <row r="218" spans="2:14" s="50" customFormat="1" hidden="1">
      <c r="B218" s="181" t="s">
        <v>211</v>
      </c>
      <c r="C218" s="649" t="e">
        <f>#REF!</f>
        <v>#REF!</v>
      </c>
      <c r="D218" s="183" t="e">
        <f>$C218*D204</f>
        <v>#REF!</v>
      </c>
      <c r="E218" s="183" t="e">
        <f t="shared" ref="E218:F218" si="43">$C218*E204</f>
        <v>#REF!</v>
      </c>
      <c r="F218" s="183" t="e">
        <f t="shared" si="43"/>
        <v>#REF!</v>
      </c>
      <c r="I218" s="5"/>
      <c r="J218" s="5"/>
      <c r="K218" s="548"/>
      <c r="L218"/>
      <c r="M218"/>
      <c r="N218"/>
    </row>
    <row r="219" spans="2:14" s="50" customFormat="1" ht="15.75" hidden="1">
      <c r="B219" s="186" t="s">
        <v>21</v>
      </c>
      <c r="C219" s="648"/>
      <c r="D219" s="187" t="e">
        <f>D218+D217+D216+D215+D213+D211+D209+D208+D207+D206</f>
        <v>#REF!</v>
      </c>
      <c r="E219" s="187" t="e">
        <f t="shared" ref="E219:F219" si="44">E218+E217+E216+E215+E213+E211+E209+E208+E207+E206</f>
        <v>#REF!</v>
      </c>
      <c r="F219" s="187" t="e">
        <f t="shared" si="44"/>
        <v>#REF!</v>
      </c>
      <c r="I219" s="5"/>
      <c r="J219" s="5"/>
      <c r="K219" s="548"/>
      <c r="L219"/>
      <c r="M219"/>
      <c r="N219"/>
    </row>
  </sheetData>
  <autoFilter ref="A26:U99">
    <filterColumn colId="11">
      <filters>
        <filter val="ОДН"/>
        <filter val="СОИ"/>
      </filters>
    </filterColumn>
  </autoFilter>
  <mergeCells count="21">
    <mergeCell ref="D12:E12"/>
    <mergeCell ref="D13:E13"/>
    <mergeCell ref="B23:B24"/>
    <mergeCell ref="D23:D24"/>
    <mergeCell ref="E23:E24"/>
    <mergeCell ref="A7:L7"/>
    <mergeCell ref="A155:B155"/>
    <mergeCell ref="O167:P167"/>
    <mergeCell ref="D170:E170"/>
    <mergeCell ref="A145:B145"/>
    <mergeCell ref="A146:B146"/>
    <mergeCell ref="A147:B147"/>
    <mergeCell ref="D150:E150"/>
    <mergeCell ref="A153:B153"/>
    <mergeCell ref="A154:B154"/>
    <mergeCell ref="F23:F24"/>
    <mergeCell ref="G23:H23"/>
    <mergeCell ref="I23:J23"/>
    <mergeCell ref="K136:M136"/>
    <mergeCell ref="A144:B144"/>
    <mergeCell ref="D10:E10"/>
  </mergeCells>
  <pageMargins left="1.1811023622047245" right="0.23622047244094491" top="0" bottom="0" header="0.31496062992125984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U218"/>
  <sheetViews>
    <sheetView topLeftCell="A6" workbookViewId="0">
      <selection activeCell="L7" sqref="L7"/>
    </sheetView>
  </sheetViews>
  <sheetFormatPr defaultRowHeight="15"/>
  <cols>
    <col min="1" max="1" width="6.28515625" customWidth="1"/>
    <col min="2" max="2" width="62.42578125" customWidth="1"/>
    <col min="3" max="3" width="12.85546875" style="548" hidden="1" customWidth="1"/>
    <col min="4" max="4" width="17" customWidth="1"/>
    <col min="5" max="5" width="16.5703125" customWidth="1"/>
    <col min="6" max="6" width="9.5703125" customWidth="1"/>
    <col min="7" max="7" width="15.42578125" style="5" customWidth="1"/>
    <col min="8" max="8" width="11.140625" style="5" customWidth="1"/>
    <col min="9" max="9" width="14.5703125" style="5" customWidth="1"/>
    <col min="10" max="10" width="17.140625" style="5" customWidth="1"/>
    <col min="11" max="11" width="6.5703125" style="548" hidden="1" customWidth="1"/>
    <col min="12" max="12" width="8.7109375" customWidth="1"/>
    <col min="13" max="13" width="10.28515625" customWidth="1"/>
  </cols>
  <sheetData>
    <row r="1" spans="1:14" hidden="1">
      <c r="B1" s="1" t="s">
        <v>0</v>
      </c>
      <c r="C1" s="592"/>
      <c r="D1" s="3"/>
      <c r="F1" s="4"/>
    </row>
    <row r="2" spans="1:14" hidden="1">
      <c r="B2" s="1" t="s">
        <v>1</v>
      </c>
      <c r="C2" s="592"/>
      <c r="D2" s="3"/>
      <c r="F2" s="4"/>
    </row>
    <row r="3" spans="1:14" hidden="1">
      <c r="B3" s="1" t="s">
        <v>2</v>
      </c>
      <c r="C3" s="592"/>
      <c r="D3" s="3"/>
      <c r="F3" s="4"/>
    </row>
    <row r="4" spans="1:14" hidden="1">
      <c r="C4" s="593"/>
      <c r="F4" s="4"/>
    </row>
    <row r="5" spans="1:14" hidden="1">
      <c r="C5" s="593"/>
      <c r="F5" s="4"/>
    </row>
    <row r="6" spans="1:14" ht="33" customHeight="1">
      <c r="A6" s="800" t="s">
        <v>411</v>
      </c>
      <c r="B6" s="802"/>
      <c r="C6" s="801"/>
      <c r="D6" s="800"/>
      <c r="E6" s="802"/>
      <c r="F6" s="802"/>
      <c r="G6" s="802"/>
      <c r="H6" s="802"/>
      <c r="I6" s="802"/>
      <c r="J6" s="802"/>
      <c r="K6" s="801"/>
      <c r="L6" s="951" t="s">
        <v>442</v>
      </c>
      <c r="M6" s="802"/>
      <c r="N6" s="802"/>
    </row>
    <row r="7" spans="1:14">
      <c r="A7" s="7"/>
      <c r="B7" s="7"/>
      <c r="C7" s="594"/>
      <c r="D7" s="9"/>
      <c r="E7" s="10"/>
      <c r="F7" s="11"/>
    </row>
    <row r="8" spans="1:14" ht="15.75" thickBot="1">
      <c r="A8" s="7"/>
      <c r="B8" s="7"/>
      <c r="C8" s="594"/>
      <c r="D8" s="9"/>
      <c r="E8" s="10"/>
      <c r="F8" s="11"/>
    </row>
    <row r="9" spans="1:14">
      <c r="A9" s="7"/>
      <c r="B9" s="7"/>
      <c r="C9" s="594"/>
      <c r="D9" s="515" t="s">
        <v>4</v>
      </c>
      <c r="E9" s="13"/>
      <c r="F9" s="14"/>
      <c r="G9" s="377" t="s">
        <v>326</v>
      </c>
      <c r="H9" s="378" t="s">
        <v>327</v>
      </c>
    </row>
    <row r="10" spans="1:14">
      <c r="A10" s="7"/>
      <c r="B10" s="7"/>
      <c r="C10" s="594"/>
      <c r="D10" s="956" t="s">
        <v>5</v>
      </c>
      <c r="E10" s="957"/>
      <c r="F10" s="15">
        <f>G10+H10</f>
        <v>31935.8</v>
      </c>
      <c r="G10" s="379">
        <v>17726.5</v>
      </c>
      <c r="H10" s="380">
        <v>14209.3</v>
      </c>
    </row>
    <row r="11" spans="1:14">
      <c r="A11" s="7"/>
      <c r="B11" s="7"/>
      <c r="C11" s="594"/>
      <c r="D11" s="515" t="s">
        <v>6</v>
      </c>
      <c r="E11" s="516"/>
      <c r="F11" s="15">
        <f>1382.5+74.4+200.3</f>
        <v>1657.2</v>
      </c>
      <c r="G11" s="379">
        <f>54.6+350.4+109.8+365.7+110.9</f>
        <v>991.4</v>
      </c>
      <c r="H11" s="380">
        <f>74.4+200.3+94.2+205.5+91.4</f>
        <v>665.80000000000007</v>
      </c>
    </row>
    <row r="12" spans="1:14" ht="15.75" thickBot="1">
      <c r="A12" s="7"/>
      <c r="B12" s="7"/>
      <c r="C12" s="594"/>
      <c r="D12" s="956" t="s">
        <v>7</v>
      </c>
      <c r="E12" s="957"/>
      <c r="F12" s="15">
        <f>F11+F10</f>
        <v>33593</v>
      </c>
      <c r="G12" s="688">
        <f>G10+G11</f>
        <v>18717.900000000001</v>
      </c>
      <c r="H12" s="689">
        <f>H10+H11</f>
        <v>14875.099999999999</v>
      </c>
    </row>
    <row r="13" spans="1:14" s="763" customFormat="1" ht="27" customHeight="1">
      <c r="A13" s="761"/>
      <c r="B13" s="761"/>
      <c r="C13" s="594"/>
      <c r="D13" s="995" t="s">
        <v>8</v>
      </c>
      <c r="E13" s="995"/>
      <c r="F13" s="686">
        <f>F24</f>
        <v>46.509618429930839</v>
      </c>
      <c r="G13" s="687">
        <f>G12*100/F12</f>
        <v>55.719643973446857</v>
      </c>
      <c r="H13" s="687">
        <f>H12*100/F12</f>
        <v>44.280356026553143</v>
      </c>
      <c r="I13" s="762"/>
      <c r="J13" s="762"/>
      <c r="K13" s="548"/>
    </row>
    <row r="14" spans="1:14">
      <c r="A14" s="7"/>
      <c r="B14" s="7" t="s">
        <v>9</v>
      </c>
      <c r="C14" s="594"/>
      <c r="E14" s="10"/>
      <c r="F14" s="11"/>
    </row>
    <row r="15" spans="1:14" ht="15.75" thickBot="1">
      <c r="A15" s="7"/>
      <c r="B15" s="7"/>
      <c r="C15" s="594"/>
      <c r="E15" s="10"/>
      <c r="F15" s="11"/>
    </row>
    <row r="16" spans="1:14" hidden="1">
      <c r="A16" s="17" t="s">
        <v>10</v>
      </c>
      <c r="B16" s="17" t="s">
        <v>11</v>
      </c>
      <c r="C16" s="595" t="s">
        <v>12</v>
      </c>
      <c r="D16" s="17" t="s">
        <v>13</v>
      </c>
      <c r="E16" s="305" t="s">
        <v>212</v>
      </c>
      <c r="F16" s="11"/>
    </row>
    <row r="17" spans="1:13" hidden="1">
      <c r="A17" s="17" t="s">
        <v>14</v>
      </c>
      <c r="B17" s="17"/>
      <c r="C17" s="595" t="s">
        <v>15</v>
      </c>
      <c r="D17" s="516" t="s">
        <v>15</v>
      </c>
      <c r="E17" s="19"/>
      <c r="F17" s="11"/>
    </row>
    <row r="18" spans="1:13" hidden="1">
      <c r="A18" s="17" t="s">
        <v>16</v>
      </c>
      <c r="B18" s="17" t="s">
        <v>17</v>
      </c>
      <c r="C18" s="595"/>
      <c r="D18" s="516"/>
      <c r="E18" s="19"/>
      <c r="F18" s="11"/>
    </row>
    <row r="19" spans="1:13" hidden="1">
      <c r="A19" s="17" t="s">
        <v>18</v>
      </c>
      <c r="B19" s="17" t="s">
        <v>19</v>
      </c>
      <c r="C19" s="596">
        <f>D19*12</f>
        <v>17823862.467055023</v>
      </c>
      <c r="D19" s="21">
        <f>F13*F10</f>
        <v>1485321.8722545851</v>
      </c>
      <c r="E19" s="192">
        <f>D19*12</f>
        <v>17823862.467055023</v>
      </c>
      <c r="F19" s="11"/>
    </row>
    <row r="20" spans="1:13" hidden="1">
      <c r="A20" s="17"/>
      <c r="B20" s="17" t="s">
        <v>20</v>
      </c>
      <c r="C20" s="596">
        <f>D20*12</f>
        <v>924908.87594497658</v>
      </c>
      <c r="D20" s="21">
        <f>F13*F11</f>
        <v>77075.739662081382</v>
      </c>
      <c r="E20" s="192">
        <f>D20*12</f>
        <v>924908.87594497658</v>
      </c>
      <c r="F20" s="11"/>
    </row>
    <row r="21" spans="1:13" ht="15.75" hidden="1" thickBot="1">
      <c r="A21" s="368"/>
      <c r="B21" s="368" t="s">
        <v>21</v>
      </c>
      <c r="C21" s="597">
        <f>C19+C20</f>
        <v>18748771.342999998</v>
      </c>
      <c r="D21" s="369">
        <f>D19+D20</f>
        <v>1562397.6119166666</v>
      </c>
      <c r="E21" s="370">
        <f>D21*12</f>
        <v>18748771.342999998</v>
      </c>
      <c r="F21" s="11"/>
      <c r="G21" s="308">
        <f>D24-G24</f>
        <v>8629565.8100804016</v>
      </c>
      <c r="H21" s="308"/>
      <c r="I21" s="308">
        <f>G21-I24</f>
        <v>-167129.99999999814</v>
      </c>
      <c r="J21" s="308"/>
    </row>
    <row r="22" spans="1:13" ht="32.25" customHeight="1" thickBot="1">
      <c r="A22" s="756"/>
      <c r="B22" s="970" t="s">
        <v>22</v>
      </c>
      <c r="C22" s="598"/>
      <c r="D22" s="964" t="s">
        <v>323</v>
      </c>
      <c r="E22" s="966" t="s">
        <v>324</v>
      </c>
      <c r="F22" s="968" t="s">
        <v>24</v>
      </c>
      <c r="G22" s="960" t="s">
        <v>25</v>
      </c>
      <c r="H22" s="961"/>
      <c r="I22" s="962" t="s">
        <v>325</v>
      </c>
      <c r="J22" s="963"/>
      <c r="K22" s="549"/>
      <c r="L22" s="325"/>
    </row>
    <row r="23" spans="1:13" ht="72" customHeight="1" thickBot="1">
      <c r="A23" s="754"/>
      <c r="B23" s="971"/>
      <c r="C23" s="599" t="s">
        <v>23</v>
      </c>
      <c r="D23" s="965"/>
      <c r="E23" s="967"/>
      <c r="F23" s="969"/>
      <c r="G23" s="375" t="s">
        <v>323</v>
      </c>
      <c r="H23" s="333" t="s">
        <v>24</v>
      </c>
      <c r="I23" s="413" t="s">
        <v>323</v>
      </c>
      <c r="J23" s="372" t="s">
        <v>24</v>
      </c>
      <c r="K23" s="550" t="s">
        <v>214</v>
      </c>
      <c r="L23" s="373" t="s">
        <v>230</v>
      </c>
    </row>
    <row r="24" spans="1:13" ht="26.25" hidden="1" customHeight="1" thickBot="1">
      <c r="A24" s="755">
        <v>1</v>
      </c>
      <c r="B24" s="334" t="s">
        <v>27</v>
      </c>
      <c r="C24" s="600"/>
      <c r="D24" s="41">
        <f>D26+D44+D47+D51+D55+D77+D63</f>
        <v>18748771.343000002</v>
      </c>
      <c r="E24" s="41">
        <f>E26+E44+E47+E51+E55+E77+E63</f>
        <v>1562397.6119166669</v>
      </c>
      <c r="F24" s="42">
        <f>F26+F44+F47+F51+F55+F77+F63</f>
        <v>46.509618429930839</v>
      </c>
      <c r="G24" s="211">
        <f>G26+G44+G47+G51+G55+G77+G63</f>
        <v>10119205.532919601</v>
      </c>
      <c r="H24" s="69">
        <f>H26+H44+H47+H51+H55+H63+H77</f>
        <v>44.307300912137585</v>
      </c>
      <c r="I24" s="362">
        <f>I26+I44+I47+I51+I55+I77+I63</f>
        <v>8796695.8100803997</v>
      </c>
      <c r="J24" s="383">
        <f>J26+J44+J47+J51+J55+J63+J77</f>
        <v>49.280877720039982</v>
      </c>
      <c r="K24" s="551"/>
      <c r="L24" s="179"/>
      <c r="M24" s="3"/>
    </row>
    <row r="25" spans="1:13" ht="11.25" customHeight="1" thickBot="1">
      <c r="A25" s="28"/>
      <c r="B25" s="338"/>
      <c r="C25" s="602"/>
      <c r="D25" s="339"/>
      <c r="E25" s="339"/>
      <c r="F25" s="340"/>
      <c r="G25" s="341"/>
      <c r="H25" s="415"/>
      <c r="I25" s="341"/>
      <c r="J25" s="341"/>
      <c r="K25" s="552"/>
      <c r="L25" s="342"/>
    </row>
    <row r="26" spans="1:13" ht="18" customHeight="1" thickBot="1">
      <c r="A26" s="536"/>
      <c r="B26" s="774" t="s">
        <v>400</v>
      </c>
      <c r="C26" s="784"/>
      <c r="D26" s="485">
        <f>SUM(D27:D43)</f>
        <v>3927850</v>
      </c>
      <c r="E26" s="785">
        <f t="shared" ref="E26:J26" si="0">SUM(E27:E43)</f>
        <v>327320.83333333337</v>
      </c>
      <c r="F26" s="585">
        <f t="shared" si="0"/>
        <v>9.7437214102144303</v>
      </c>
      <c r="G26" s="585">
        <f t="shared" si="0"/>
        <v>1772762.6350000002</v>
      </c>
      <c r="H26" s="585">
        <f t="shared" si="0"/>
        <v>7.1483830762710214</v>
      </c>
      <c r="I26" s="585">
        <f t="shared" si="0"/>
        <v>2322217.3649999998</v>
      </c>
      <c r="J26" s="585">
        <f t="shared" si="0"/>
        <v>13.00953363338734</v>
      </c>
      <c r="K26" s="553"/>
      <c r="L26" s="423" t="s">
        <v>307</v>
      </c>
    </row>
    <row r="27" spans="1:13" ht="30.75" customHeight="1" thickBot="1">
      <c r="A27" s="394" t="s">
        <v>395</v>
      </c>
      <c r="B27" s="723" t="s">
        <v>253</v>
      </c>
      <c r="C27" s="768" t="s">
        <v>30</v>
      </c>
      <c r="D27" s="61">
        <v>360000</v>
      </c>
      <c r="E27" s="347">
        <f t="shared" ref="E27:E43" si="1">D27/12</f>
        <v>30000</v>
      </c>
      <c r="F27" s="735">
        <f>E27/F12</f>
        <v>0.89304319352246009</v>
      </c>
      <c r="G27" s="799">
        <f>D27*55.71%</f>
        <v>200556</v>
      </c>
      <c r="H27" s="797">
        <f>G27/G12/12</f>
        <v>0.89288862532655899</v>
      </c>
      <c r="I27" s="788">
        <f t="shared" ref="I27:I39" si="2">D27-G27</f>
        <v>159444</v>
      </c>
      <c r="J27" s="786">
        <f>I27/H$12/12</f>
        <v>0.89323769251971419</v>
      </c>
      <c r="K27" s="565"/>
      <c r="L27" s="463" t="s">
        <v>307</v>
      </c>
      <c r="M27" s="50"/>
    </row>
    <row r="28" spans="1:13" ht="30.75" customHeight="1" thickBot="1">
      <c r="A28" s="51" t="s">
        <v>165</v>
      </c>
      <c r="B28" s="775" t="s">
        <v>255</v>
      </c>
      <c r="C28" s="769" t="s">
        <v>32</v>
      </c>
      <c r="D28" s="54">
        <v>40000</v>
      </c>
      <c r="E28" s="46">
        <f t="shared" si="1"/>
        <v>3333.3333333333335</v>
      </c>
      <c r="F28" s="435">
        <f>E28/F12</f>
        <v>9.9227021502495558E-2</v>
      </c>
      <c r="G28" s="799">
        <f t="shared" ref="G28:G43" si="3">D28*55.71%</f>
        <v>22284</v>
      </c>
      <c r="H28" s="793">
        <f>G28/G12/12</f>
        <v>9.9209847258506553E-2</v>
      </c>
      <c r="I28" s="789">
        <f t="shared" si="2"/>
        <v>17716</v>
      </c>
      <c r="J28" s="787">
        <f t="shared" ref="J28:J43" si="4">I28/H$12/12</f>
        <v>9.9248632502190473E-2</v>
      </c>
      <c r="K28" s="767" t="s">
        <v>89</v>
      </c>
      <c r="L28" s="270" t="s">
        <v>307</v>
      </c>
      <c r="M28" s="50"/>
    </row>
    <row r="29" spans="1:13" ht="26.25" customHeight="1" thickBot="1">
      <c r="A29" s="51" t="s">
        <v>167</v>
      </c>
      <c r="B29" s="775" t="s">
        <v>254</v>
      </c>
      <c r="C29" s="770" t="s">
        <v>34</v>
      </c>
      <c r="D29" s="54">
        <v>60000</v>
      </c>
      <c r="E29" s="46">
        <f t="shared" si="1"/>
        <v>5000</v>
      </c>
      <c r="F29" s="435">
        <f>E29/F12</f>
        <v>0.14884053225374333</v>
      </c>
      <c r="G29" s="799">
        <f t="shared" si="3"/>
        <v>33426</v>
      </c>
      <c r="H29" s="793">
        <f>G29/G$12/12</f>
        <v>0.14881477088775982</v>
      </c>
      <c r="I29" s="789">
        <f>D29-G29</f>
        <v>26574</v>
      </c>
      <c r="J29" s="787">
        <f t="shared" si="4"/>
        <v>0.14887294875328569</v>
      </c>
      <c r="K29" s="570" t="s">
        <v>90</v>
      </c>
      <c r="L29" s="270" t="s">
        <v>307</v>
      </c>
    </row>
    <row r="30" spans="1:13" ht="32.25" customHeight="1" thickBot="1">
      <c r="A30" s="56" t="s">
        <v>169</v>
      </c>
      <c r="B30" s="775" t="s">
        <v>36</v>
      </c>
      <c r="C30" s="575"/>
      <c r="D30" s="54">
        <v>45000</v>
      </c>
      <c r="E30" s="46">
        <f t="shared" si="1"/>
        <v>3750</v>
      </c>
      <c r="F30" s="435">
        <f>E30/F12</f>
        <v>0.11163039919030751</v>
      </c>
      <c r="G30" s="799">
        <f t="shared" si="3"/>
        <v>25069.5</v>
      </c>
      <c r="H30" s="793">
        <f t="shared" ref="H30:H43" si="5">G30/G$12/12</f>
        <v>0.11161107816581987</v>
      </c>
      <c r="I30" s="789">
        <f t="shared" si="2"/>
        <v>19930.5</v>
      </c>
      <c r="J30" s="787">
        <f t="shared" si="4"/>
        <v>0.11165471156496427</v>
      </c>
      <c r="K30" s="570"/>
      <c r="L30" s="270" t="s">
        <v>307</v>
      </c>
    </row>
    <row r="31" spans="1:13" ht="25.5" customHeight="1" thickBot="1">
      <c r="A31" s="51" t="s">
        <v>171</v>
      </c>
      <c r="B31" s="775" t="s">
        <v>257</v>
      </c>
      <c r="C31" s="770" t="s">
        <v>38</v>
      </c>
      <c r="D31" s="54">
        <v>45000</v>
      </c>
      <c r="E31" s="46">
        <f t="shared" si="1"/>
        <v>3750</v>
      </c>
      <c r="F31" s="435">
        <f>E31/F12</f>
        <v>0.11163039919030751</v>
      </c>
      <c r="G31" s="799">
        <f t="shared" si="3"/>
        <v>25069.5</v>
      </c>
      <c r="H31" s="793">
        <f t="shared" si="5"/>
        <v>0.11161107816581987</v>
      </c>
      <c r="I31" s="789">
        <f t="shared" si="2"/>
        <v>19930.5</v>
      </c>
      <c r="J31" s="787">
        <f t="shared" si="4"/>
        <v>0.11165471156496427</v>
      </c>
      <c r="K31" s="570"/>
      <c r="L31" s="270" t="s">
        <v>307</v>
      </c>
    </row>
    <row r="32" spans="1:13" ht="25.5" customHeight="1" thickBot="1">
      <c r="A32" s="51" t="s">
        <v>401</v>
      </c>
      <c r="B32" s="776" t="s">
        <v>262</v>
      </c>
      <c r="C32" s="770" t="s">
        <v>40</v>
      </c>
      <c r="D32" s="57">
        <v>45000</v>
      </c>
      <c r="E32" s="46">
        <f t="shared" si="1"/>
        <v>3750</v>
      </c>
      <c r="F32" s="435">
        <f>E32/F12</f>
        <v>0.11163039919030751</v>
      </c>
      <c r="G32" s="799">
        <f t="shared" si="3"/>
        <v>25069.5</v>
      </c>
      <c r="H32" s="793">
        <f t="shared" si="5"/>
        <v>0.11161107816581987</v>
      </c>
      <c r="I32" s="789">
        <f t="shared" si="2"/>
        <v>19930.5</v>
      </c>
      <c r="J32" s="787">
        <f t="shared" si="4"/>
        <v>0.11165471156496427</v>
      </c>
      <c r="K32" s="570" t="s">
        <v>232</v>
      </c>
      <c r="L32" s="270" t="s">
        <v>307</v>
      </c>
    </row>
    <row r="33" spans="1:12" ht="21.75" customHeight="1" thickBot="1">
      <c r="A33" s="51" t="s">
        <v>173</v>
      </c>
      <c r="B33" s="777" t="s">
        <v>223</v>
      </c>
      <c r="C33" s="770"/>
      <c r="D33" s="61">
        <v>81000</v>
      </c>
      <c r="E33" s="61">
        <f t="shared" si="1"/>
        <v>6750</v>
      </c>
      <c r="F33" s="666">
        <f>E33/F12</f>
        <v>0.20093471854255351</v>
      </c>
      <c r="G33" s="799"/>
      <c r="H33" s="793">
        <f t="shared" si="5"/>
        <v>0</v>
      </c>
      <c r="I33" s="790">
        <f t="shared" si="2"/>
        <v>81000</v>
      </c>
      <c r="J33" s="787">
        <f t="shared" si="4"/>
        <v>0.45377846199353283</v>
      </c>
      <c r="K33" s="572" t="s">
        <v>88</v>
      </c>
      <c r="L33" s="270" t="s">
        <v>307</v>
      </c>
    </row>
    <row r="34" spans="1:12" ht="21.75" customHeight="1" thickBot="1">
      <c r="A34" s="345" t="s">
        <v>175</v>
      </c>
      <c r="B34" s="778" t="s">
        <v>310</v>
      </c>
      <c r="C34" s="717"/>
      <c r="D34" s="61">
        <v>100000</v>
      </c>
      <c r="E34" s="61">
        <f t="shared" si="1"/>
        <v>8333.3333333333339</v>
      </c>
      <c r="F34" s="794">
        <f>E34/F12</f>
        <v>0.24806755375623893</v>
      </c>
      <c r="G34" s="799">
        <v>100000</v>
      </c>
      <c r="H34" s="793">
        <f t="shared" si="5"/>
        <v>0.44520663820905831</v>
      </c>
      <c r="I34" s="791"/>
      <c r="J34" s="787">
        <f t="shared" si="4"/>
        <v>0</v>
      </c>
      <c r="K34" s="565" t="s">
        <v>87</v>
      </c>
      <c r="L34" s="270" t="s">
        <v>307</v>
      </c>
    </row>
    <row r="35" spans="1:12" ht="21.75" customHeight="1" thickBot="1">
      <c r="A35" s="345" t="s">
        <v>402</v>
      </c>
      <c r="B35" s="777" t="s">
        <v>318</v>
      </c>
      <c r="C35" s="771"/>
      <c r="D35" s="61">
        <f>I35</f>
        <v>202000</v>
      </c>
      <c r="E35" s="61">
        <f t="shared" si="1"/>
        <v>16833.333333333332</v>
      </c>
      <c r="F35" s="794">
        <f>E35/F12</f>
        <v>0.50109645858760254</v>
      </c>
      <c r="G35" s="799"/>
      <c r="H35" s="793">
        <f t="shared" si="5"/>
        <v>0</v>
      </c>
      <c r="I35" s="439">
        <f>102000+(100000)</f>
        <v>202000</v>
      </c>
      <c r="J35" s="787">
        <f t="shared" si="4"/>
        <v>1.131645053366588</v>
      </c>
      <c r="K35" s="570"/>
      <c r="L35" s="270" t="s">
        <v>307</v>
      </c>
    </row>
    <row r="36" spans="1:12" ht="33.75" customHeight="1" thickBot="1">
      <c r="A36" s="346" t="s">
        <v>403</v>
      </c>
      <c r="B36" s="724" t="s">
        <v>261</v>
      </c>
      <c r="C36" s="716"/>
      <c r="D36" s="61">
        <v>200000</v>
      </c>
      <c r="E36" s="61">
        <f t="shared" si="1"/>
        <v>16666.666666666668</v>
      </c>
      <c r="F36" s="794">
        <f>E36/F12</f>
        <v>0.49613510751247786</v>
      </c>
      <c r="G36" s="799"/>
      <c r="H36" s="793">
        <f t="shared" si="5"/>
        <v>0</v>
      </c>
      <c r="I36" s="439">
        <f>D36-G36</f>
        <v>200000</v>
      </c>
      <c r="J36" s="787">
        <f t="shared" si="4"/>
        <v>1.120440646897612</v>
      </c>
      <c r="K36" s="570" t="s">
        <v>222</v>
      </c>
      <c r="L36" s="270" t="s">
        <v>307</v>
      </c>
    </row>
    <row r="37" spans="1:12" ht="21.75" customHeight="1" thickBot="1">
      <c r="A37" s="346" t="s">
        <v>404</v>
      </c>
      <c r="B37" s="724" t="s">
        <v>319</v>
      </c>
      <c r="C37" s="716"/>
      <c r="D37" s="61">
        <f>I37</f>
        <v>133000</v>
      </c>
      <c r="E37" s="61">
        <f t="shared" si="1"/>
        <v>11083.333333333334</v>
      </c>
      <c r="F37" s="794">
        <f>E37/F12</f>
        <v>0.32992984649579776</v>
      </c>
      <c r="G37" s="799"/>
      <c r="H37" s="793">
        <f t="shared" si="5"/>
        <v>0</v>
      </c>
      <c r="I37" s="439">
        <v>133000</v>
      </c>
      <c r="J37" s="787">
        <f t="shared" si="4"/>
        <v>0.74509303018691198</v>
      </c>
      <c r="K37" s="570"/>
      <c r="L37" s="270" t="s">
        <v>307</v>
      </c>
    </row>
    <row r="38" spans="1:12" ht="21.75" customHeight="1" thickBot="1">
      <c r="A38" s="346" t="s">
        <v>405</v>
      </c>
      <c r="B38" s="724" t="s">
        <v>314</v>
      </c>
      <c r="C38" s="716"/>
      <c r="D38" s="61">
        <v>65000</v>
      </c>
      <c r="E38" s="61">
        <f t="shared" si="1"/>
        <v>5416.666666666667</v>
      </c>
      <c r="F38" s="794">
        <f>E38/F12</f>
        <v>0.1612439099415553</v>
      </c>
      <c r="G38" s="799">
        <v>45000</v>
      </c>
      <c r="H38" s="793">
        <f t="shared" si="5"/>
        <v>0.20034298719407626</v>
      </c>
      <c r="I38" s="439">
        <v>20000</v>
      </c>
      <c r="J38" s="787">
        <f t="shared" si="4"/>
        <v>0.11204406468976119</v>
      </c>
      <c r="K38" s="570" t="s">
        <v>221</v>
      </c>
      <c r="L38" s="270" t="s">
        <v>307</v>
      </c>
    </row>
    <row r="39" spans="1:12" ht="27" customHeight="1" thickBot="1">
      <c r="A39" s="85" t="s">
        <v>406</v>
      </c>
      <c r="B39" s="193" t="s">
        <v>45</v>
      </c>
      <c r="C39" s="772"/>
      <c r="D39" s="54">
        <f>45000*2*1.305*12</f>
        <v>1409400</v>
      </c>
      <c r="E39" s="61">
        <f t="shared" si="1"/>
        <v>117450</v>
      </c>
      <c r="F39" s="794">
        <f>E39/F12</f>
        <v>3.4962641026404309</v>
      </c>
      <c r="G39" s="799">
        <f t="shared" si="3"/>
        <v>785176.74000000011</v>
      </c>
      <c r="H39" s="793">
        <f t="shared" si="5"/>
        <v>3.4956589681534793</v>
      </c>
      <c r="I39" s="790">
        <f t="shared" si="2"/>
        <v>624223.25999999989</v>
      </c>
      <c r="J39" s="787">
        <f t="shared" si="4"/>
        <v>3.4970255662146807</v>
      </c>
      <c r="K39" s="570"/>
      <c r="L39" s="270" t="s">
        <v>307</v>
      </c>
    </row>
    <row r="40" spans="1:12" ht="18" customHeight="1" thickBot="1">
      <c r="A40" s="85" t="s">
        <v>407</v>
      </c>
      <c r="B40" s="193" t="s">
        <v>309</v>
      </c>
      <c r="C40" s="772"/>
      <c r="D40" s="54">
        <v>225000</v>
      </c>
      <c r="E40" s="61">
        <f t="shared" si="1"/>
        <v>18750</v>
      </c>
      <c r="F40" s="794">
        <f>E40/F12</f>
        <v>0.55815199595153753</v>
      </c>
      <c r="G40" s="799"/>
      <c r="H40" s="793">
        <f t="shared" si="5"/>
        <v>0</v>
      </c>
      <c r="I40" s="790">
        <v>225000</v>
      </c>
      <c r="J40" s="787">
        <f t="shared" si="4"/>
        <v>1.2604957277598134</v>
      </c>
      <c r="K40" s="570"/>
      <c r="L40" s="270" t="s">
        <v>307</v>
      </c>
    </row>
    <row r="41" spans="1:12" ht="27" customHeight="1" thickBot="1">
      <c r="A41" s="85" t="s">
        <v>408</v>
      </c>
      <c r="B41" s="779" t="s">
        <v>275</v>
      </c>
      <c r="C41" s="773"/>
      <c r="D41" s="54">
        <f>45000*2*1.305</f>
        <v>117450</v>
      </c>
      <c r="E41" s="61">
        <f t="shared" si="1"/>
        <v>9787.5</v>
      </c>
      <c r="F41" s="794">
        <f>E41/F12</f>
        <v>0.29135534188670259</v>
      </c>
      <c r="G41" s="799">
        <f t="shared" si="3"/>
        <v>65431.395000000004</v>
      </c>
      <c r="H41" s="793">
        <f t="shared" si="5"/>
        <v>0.29130491401278991</v>
      </c>
      <c r="I41" s="790">
        <f t="shared" ref="I41" si="6">D41-G41</f>
        <v>52018.604999999996</v>
      </c>
      <c r="J41" s="787">
        <f t="shared" si="4"/>
        <v>0.29141879718455677</v>
      </c>
      <c r="K41" s="570"/>
      <c r="L41" s="270" t="s">
        <v>307</v>
      </c>
    </row>
    <row r="42" spans="1:12" ht="27" customHeight="1" thickBot="1">
      <c r="A42" s="782" t="s">
        <v>409</v>
      </c>
      <c r="B42" s="193" t="s">
        <v>335</v>
      </c>
      <c r="C42" s="772"/>
      <c r="D42" s="54">
        <f>I42</f>
        <v>300000</v>
      </c>
      <c r="E42" s="218">
        <f t="shared" si="1"/>
        <v>25000</v>
      </c>
      <c r="F42" s="795">
        <f>E42/F12</f>
        <v>0.7442026612687167</v>
      </c>
      <c r="G42" s="799">
        <f t="shared" si="3"/>
        <v>167130</v>
      </c>
      <c r="H42" s="793">
        <v>0</v>
      </c>
      <c r="I42" s="99">
        <f>100000*3</f>
        <v>300000</v>
      </c>
      <c r="J42" s="787">
        <f t="shared" si="4"/>
        <v>1.6806609703464179</v>
      </c>
      <c r="K42" s="572"/>
      <c r="L42" s="270" t="s">
        <v>307</v>
      </c>
    </row>
    <row r="43" spans="1:12" ht="27" customHeight="1" thickBot="1">
      <c r="A43" s="92" t="s">
        <v>410</v>
      </c>
      <c r="B43" s="780" t="s">
        <v>322</v>
      </c>
      <c r="C43" s="772"/>
      <c r="D43" s="729">
        <v>500000</v>
      </c>
      <c r="E43" s="109">
        <f t="shared" si="1"/>
        <v>41666.666666666664</v>
      </c>
      <c r="F43" s="796">
        <f>E43/F12</f>
        <v>1.2403377687811945</v>
      </c>
      <c r="G43" s="799">
        <f t="shared" si="3"/>
        <v>278550</v>
      </c>
      <c r="H43" s="798">
        <f t="shared" si="5"/>
        <v>1.2401230907313321</v>
      </c>
      <c r="I43" s="792">
        <f>D43-G43</f>
        <v>221450</v>
      </c>
      <c r="J43" s="781">
        <f t="shared" si="4"/>
        <v>1.2406079062773809</v>
      </c>
      <c r="K43" s="572"/>
      <c r="L43" s="464" t="s">
        <v>307</v>
      </c>
    </row>
    <row r="44" spans="1:12" s="7" customFormat="1" ht="20.25" hidden="1" thickBot="1">
      <c r="A44" s="359"/>
      <c r="B44" s="360" t="s">
        <v>47</v>
      </c>
      <c r="C44" s="613"/>
      <c r="D44" s="783">
        <f>SUM(D45:D46)</f>
        <v>1404995</v>
      </c>
      <c r="E44" s="361">
        <f t="shared" ref="E44:I44" si="7">SUM(E45:E46)</f>
        <v>117082.91666666667</v>
      </c>
      <c r="F44" s="69">
        <f t="shared" si="7"/>
        <v>3.4853367268974687</v>
      </c>
      <c r="G44" s="361">
        <f t="shared" si="7"/>
        <v>782577.21400000004</v>
      </c>
      <c r="H44" s="254">
        <f>SUM(H45:H46)</f>
        <v>3.4840857058395085</v>
      </c>
      <c r="I44" s="361">
        <f t="shared" si="7"/>
        <v>622417.78599999996</v>
      </c>
      <c r="J44" s="546">
        <f>SUM(J45:J46)</f>
        <v>3.4869109339320969</v>
      </c>
      <c r="K44" s="555"/>
      <c r="L44" s="803" t="s">
        <v>274</v>
      </c>
    </row>
    <row r="45" spans="1:12" s="190" customFormat="1" ht="29.25" hidden="1" customHeight="1">
      <c r="A45" s="197" t="s">
        <v>42</v>
      </c>
      <c r="B45" s="44" t="s">
        <v>49</v>
      </c>
      <c r="C45" s="591" t="s">
        <v>50</v>
      </c>
      <c r="D45" s="57">
        <f>117045*11+112500</f>
        <v>1399995</v>
      </c>
      <c r="E45" s="47">
        <f>D45/12</f>
        <v>116666.25</v>
      </c>
      <c r="F45" s="354">
        <f>E45/F12</f>
        <v>3.4729333492096566</v>
      </c>
      <c r="G45" s="323">
        <f>D45*55.72%</f>
        <v>780077.21400000004</v>
      </c>
      <c r="H45" s="416">
        <f>G45/G$12/12</f>
        <v>3.472955539884282</v>
      </c>
      <c r="I45" s="323">
        <f>D45-G45</f>
        <v>619917.78599999996</v>
      </c>
      <c r="J45" s="545">
        <f>I45/H$12/12</f>
        <v>3.4729054258458767</v>
      </c>
      <c r="K45" s="556"/>
      <c r="L45" s="426"/>
    </row>
    <row r="46" spans="1:12" s="190" customFormat="1" ht="30" hidden="1" customHeight="1" thickBot="1">
      <c r="A46" s="199" t="s">
        <v>43</v>
      </c>
      <c r="B46" s="200" t="s">
        <v>52</v>
      </c>
      <c r="C46" s="590" t="s">
        <v>38</v>
      </c>
      <c r="D46" s="122">
        <v>5000</v>
      </c>
      <c r="E46" s="324">
        <f>D46/12</f>
        <v>416.66666666666669</v>
      </c>
      <c r="F46" s="355">
        <f>E46/F12</f>
        <v>1.2403377687811945E-2</v>
      </c>
      <c r="G46" s="341">
        <v>2500</v>
      </c>
      <c r="H46" s="416">
        <f>G46/G$12/12</f>
        <v>1.1130165955226458E-2</v>
      </c>
      <c r="I46" s="341">
        <v>2500</v>
      </c>
      <c r="J46" s="547">
        <f>I46/H$12/12</f>
        <v>1.4005508086220149E-2</v>
      </c>
      <c r="K46" s="557"/>
      <c r="L46" s="427"/>
    </row>
    <row r="47" spans="1:12" s="7" customFormat="1" ht="19.5" hidden="1" customHeight="1" thickBot="1">
      <c r="A47" s="65"/>
      <c r="B47" s="203" t="s">
        <v>53</v>
      </c>
      <c r="C47" s="600"/>
      <c r="D47" s="68">
        <f>SUM(D48:D50)</f>
        <v>522000</v>
      </c>
      <c r="E47" s="68">
        <f t="shared" ref="E47:I47" si="8">SUM(E48:E50)</f>
        <v>43500</v>
      </c>
      <c r="F47" s="69">
        <f t="shared" si="8"/>
        <v>1.2949126306075671</v>
      </c>
      <c r="G47" s="290">
        <f t="shared" si="8"/>
        <v>290858.40000000002</v>
      </c>
      <c r="H47" s="254">
        <f>SUM(H48:H50)</f>
        <v>1.2949209045886558</v>
      </c>
      <c r="I47" s="361">
        <f t="shared" si="8"/>
        <v>231141.59999999998</v>
      </c>
      <c r="J47" s="546">
        <f>SUM(J48:J50)</f>
        <v>1.2949022191447452</v>
      </c>
      <c r="K47" s="555"/>
      <c r="L47" s="425" t="s">
        <v>274</v>
      </c>
    </row>
    <row r="48" spans="1:12" ht="33.75" hidden="1" customHeight="1">
      <c r="A48" s="43" t="s">
        <v>44</v>
      </c>
      <c r="B48" s="44" t="s">
        <v>55</v>
      </c>
      <c r="C48" s="591" t="s">
        <v>56</v>
      </c>
      <c r="D48" s="57">
        <f>36000*12</f>
        <v>432000</v>
      </c>
      <c r="E48" s="47">
        <f t="shared" ref="E48:E96" si="9">D48/12</f>
        <v>36000</v>
      </c>
      <c r="F48" s="48">
        <f>E48/F12</f>
        <v>1.0716518322269522</v>
      </c>
      <c r="G48" s="49">
        <f>D48*55.72%</f>
        <v>240710.40000000002</v>
      </c>
      <c r="H48" s="416">
        <f t="shared" ref="H48:H62" si="10">G48/G$12/12</f>
        <v>1.0716586796595773</v>
      </c>
      <c r="I48" s="323">
        <f t="shared" ref="I48:I54" si="11">D48-G48</f>
        <v>191289.59999999998</v>
      </c>
      <c r="J48" s="545">
        <f t="shared" ref="J48:J62" si="12">I48/H$12/12</f>
        <v>1.0716432158439271</v>
      </c>
      <c r="K48" s="556"/>
      <c r="L48" s="424"/>
    </row>
    <row r="49" spans="1:15" ht="21.75" hidden="1" customHeight="1">
      <c r="A49" s="51" t="s">
        <v>46</v>
      </c>
      <c r="B49" s="52" t="s">
        <v>58</v>
      </c>
      <c r="C49" s="589" t="s">
        <v>59</v>
      </c>
      <c r="D49" s="61">
        <v>30000</v>
      </c>
      <c r="E49" s="47">
        <f>D49/12</f>
        <v>2500</v>
      </c>
      <c r="F49" s="48">
        <f>E49/F12</f>
        <v>7.4420266126871665E-2</v>
      </c>
      <c r="G49" s="49">
        <f>D49*55.72%</f>
        <v>16716</v>
      </c>
      <c r="H49" s="416">
        <f t="shared" si="10"/>
        <v>7.4420741643026186E-2</v>
      </c>
      <c r="I49" s="323">
        <f>D49-G49</f>
        <v>13284</v>
      </c>
      <c r="J49" s="544">
        <f t="shared" si="12"/>
        <v>7.4419667766939382E-2</v>
      </c>
      <c r="K49" s="558"/>
      <c r="L49" s="422"/>
    </row>
    <row r="50" spans="1:15" ht="19.5" hidden="1" customHeight="1" thickBot="1">
      <c r="A50" s="85" t="s">
        <v>48</v>
      </c>
      <c r="B50" s="205" t="s">
        <v>61</v>
      </c>
      <c r="C50" s="590" t="s">
        <v>59</v>
      </c>
      <c r="D50" s="122">
        <v>60000</v>
      </c>
      <c r="E50" s="324">
        <f t="shared" si="9"/>
        <v>5000</v>
      </c>
      <c r="F50" s="196">
        <f>E50/F12</f>
        <v>0.14884053225374333</v>
      </c>
      <c r="G50" s="78">
        <f>D50*55.72%</f>
        <v>33432</v>
      </c>
      <c r="H50" s="417">
        <f t="shared" si="10"/>
        <v>0.14884148328605237</v>
      </c>
      <c r="I50" s="341">
        <f t="shared" si="11"/>
        <v>26568</v>
      </c>
      <c r="J50" s="547">
        <f t="shared" si="12"/>
        <v>0.14883933553387876</v>
      </c>
      <c r="K50" s="557"/>
      <c r="L50" s="423"/>
    </row>
    <row r="51" spans="1:15" ht="18.75" hidden="1" customHeight="1" thickBot="1">
      <c r="A51" s="65"/>
      <c r="B51" s="203" t="s">
        <v>63</v>
      </c>
      <c r="C51" s="600"/>
      <c r="D51" s="68">
        <f t="shared" ref="D51:J51" si="13">SUM(D52:D54)</f>
        <v>649420</v>
      </c>
      <c r="E51" s="68">
        <f t="shared" si="13"/>
        <v>54118.333333333336</v>
      </c>
      <c r="F51" s="69">
        <f t="shared" si="13"/>
        <v>1.6110003076037667</v>
      </c>
      <c r="G51" s="290">
        <f t="shared" si="13"/>
        <v>361856.82400000002</v>
      </c>
      <c r="H51" s="254">
        <f t="shared" si="13"/>
        <v>1.6110106012604688</v>
      </c>
      <c r="I51" s="361">
        <f t="shared" si="13"/>
        <v>287563.17599999998</v>
      </c>
      <c r="J51" s="546">
        <f t="shared" si="13"/>
        <v>1.6109873547068592</v>
      </c>
      <c r="K51" s="559"/>
      <c r="L51" s="500" t="s">
        <v>274</v>
      </c>
    </row>
    <row r="52" spans="1:15" ht="21.75" hidden="1" customHeight="1">
      <c r="A52" s="43" t="s">
        <v>54</v>
      </c>
      <c r="B52" s="44" t="s">
        <v>64</v>
      </c>
      <c r="C52" s="591"/>
      <c r="D52" s="57">
        <v>40000</v>
      </c>
      <c r="E52" s="47">
        <f t="shared" si="9"/>
        <v>3333.3333333333335</v>
      </c>
      <c r="F52" s="48">
        <f>E52/F12</f>
        <v>9.9227021502495558E-2</v>
      </c>
      <c r="G52" s="49">
        <f>D52*55.72%</f>
        <v>22288</v>
      </c>
      <c r="H52" s="416">
        <f t="shared" si="10"/>
        <v>9.9227655524034911E-2</v>
      </c>
      <c r="I52" s="323">
        <f t="shared" si="11"/>
        <v>17712</v>
      </c>
      <c r="J52" s="545">
        <f t="shared" si="12"/>
        <v>9.9226223689252532E-2</v>
      </c>
      <c r="K52" s="556" t="s">
        <v>233</v>
      </c>
      <c r="L52" s="424"/>
    </row>
    <row r="53" spans="1:15" ht="25.5" hidden="1" customHeight="1">
      <c r="A53" s="51" t="s">
        <v>57</v>
      </c>
      <c r="B53" s="63" t="s">
        <v>65</v>
      </c>
      <c r="C53" s="610" t="s">
        <v>66</v>
      </c>
      <c r="D53" s="61">
        <v>20000</v>
      </c>
      <c r="E53" s="47">
        <f t="shared" si="9"/>
        <v>1666.6666666666667</v>
      </c>
      <c r="F53" s="48">
        <f>E53/F12</f>
        <v>4.9613510751247779E-2</v>
      </c>
      <c r="G53" s="49">
        <f>D53*55.72%</f>
        <v>11144</v>
      </c>
      <c r="H53" s="416">
        <f t="shared" si="10"/>
        <v>4.9613827762017455E-2</v>
      </c>
      <c r="I53" s="323">
        <f t="shared" si="11"/>
        <v>8856</v>
      </c>
      <c r="J53" s="544">
        <f t="shared" si="12"/>
        <v>4.9613111844626266E-2</v>
      </c>
      <c r="K53" s="558"/>
      <c r="L53" s="422"/>
    </row>
    <row r="54" spans="1:15" ht="27" hidden="1" customHeight="1" thickBot="1">
      <c r="A54" s="51" t="s">
        <v>60</v>
      </c>
      <c r="B54" s="63" t="s">
        <v>67</v>
      </c>
      <c r="C54" s="610" t="s">
        <v>68</v>
      </c>
      <c r="D54" s="61">
        <v>589420</v>
      </c>
      <c r="E54" s="47">
        <f t="shared" si="9"/>
        <v>49118.333333333336</v>
      </c>
      <c r="F54" s="48">
        <f>E54/F12</f>
        <v>1.4621597753500233</v>
      </c>
      <c r="G54" s="49">
        <f>D54*55.72%</f>
        <v>328424.82400000002</v>
      </c>
      <c r="H54" s="418">
        <f t="shared" si="10"/>
        <v>1.4621691179744165</v>
      </c>
      <c r="I54" s="323">
        <f t="shared" si="11"/>
        <v>260995.17599999998</v>
      </c>
      <c r="J54" s="547">
        <f t="shared" si="12"/>
        <v>1.4621480191729803</v>
      </c>
      <c r="K54" s="557"/>
      <c r="L54" s="423"/>
    </row>
    <row r="55" spans="1:15" ht="40.5" hidden="1" customHeight="1" thickBot="1">
      <c r="A55" s="65" t="s">
        <v>69</v>
      </c>
      <c r="B55" s="66" t="s">
        <v>237</v>
      </c>
      <c r="C55" s="601"/>
      <c r="D55" s="254">
        <f>SUM(D56:D62)</f>
        <v>2986099.0430000001</v>
      </c>
      <c r="E55" s="254">
        <f t="shared" ref="E55:I55" si="14">SUM(E56:E62)</f>
        <v>248841.58691666668</v>
      </c>
      <c r="F55" s="434">
        <f t="shared" si="14"/>
        <v>7.4075428487085615</v>
      </c>
      <c r="G55" s="254">
        <f t="shared" si="14"/>
        <v>1663547.5867596001</v>
      </c>
      <c r="H55" s="291">
        <f>SUM(H56:H62)</f>
        <v>7.4062242860203336</v>
      </c>
      <c r="I55" s="291">
        <f t="shared" si="14"/>
        <v>1322551.4562404</v>
      </c>
      <c r="J55" s="546">
        <f>SUM(J56:J62)</f>
        <v>7.4092020459268628</v>
      </c>
      <c r="K55" s="551"/>
      <c r="L55" s="179"/>
    </row>
    <row r="56" spans="1:15" ht="27.75" hidden="1" customHeight="1">
      <c r="A56" s="43" t="s">
        <v>70</v>
      </c>
      <c r="B56" s="44" t="s">
        <v>71</v>
      </c>
      <c r="C56" s="614" t="s">
        <v>72</v>
      </c>
      <c r="D56" s="57">
        <f>4830199.5*5%+0.02</f>
        <v>241509.995</v>
      </c>
      <c r="E56" s="46">
        <f t="shared" si="9"/>
        <v>20125.832916666666</v>
      </c>
      <c r="F56" s="435">
        <f>E56/F12</f>
        <v>0.59910793667331486</v>
      </c>
      <c r="G56" s="49">
        <f>D56*55.72%</f>
        <v>134569.36921400001</v>
      </c>
      <c r="H56" s="429">
        <f t="shared" si="10"/>
        <v>0.59911176473678485</v>
      </c>
      <c r="I56" s="323">
        <f>D56-G56</f>
        <v>106940.62578599999</v>
      </c>
      <c r="J56" s="545">
        <f t="shared" si="12"/>
        <v>0.59910311967650631</v>
      </c>
      <c r="K56" s="560"/>
      <c r="L56" s="424" t="s">
        <v>278</v>
      </c>
    </row>
    <row r="57" spans="1:15" ht="63.75" hidden="1" customHeight="1">
      <c r="A57" s="51" t="s">
        <v>73</v>
      </c>
      <c r="B57" s="63" t="s">
        <v>74</v>
      </c>
      <c r="C57" s="614" t="s">
        <v>75</v>
      </c>
      <c r="D57" s="61">
        <f>(33200+41165+10920+14368+34495)*12*1.302</f>
        <v>2095928.3520000002</v>
      </c>
      <c r="E57" s="46">
        <f>D57/12</f>
        <v>174660.69600000003</v>
      </c>
      <c r="F57" s="435">
        <f>E57/F12</f>
        <v>5.1993181912898532</v>
      </c>
      <c r="G57" s="49">
        <f>D57*55.72%</f>
        <v>1167851.2777344002</v>
      </c>
      <c r="H57" s="416">
        <f t="shared" si="10"/>
        <v>5.199351412882856</v>
      </c>
      <c r="I57" s="323">
        <f>D57-G57</f>
        <v>928077.07426559995</v>
      </c>
      <c r="J57" s="544">
        <f t="shared" si="12"/>
        <v>5.1992763873049599</v>
      </c>
      <c r="K57" s="558" t="s">
        <v>224</v>
      </c>
      <c r="L57" s="422" t="s">
        <v>274</v>
      </c>
      <c r="O57" s="337"/>
    </row>
    <row r="58" spans="1:15" s="10" customFormat="1" ht="29.25" hidden="1" customHeight="1">
      <c r="A58" s="321" t="s">
        <v>76</v>
      </c>
      <c r="B58" s="63" t="s">
        <v>77</v>
      </c>
      <c r="C58" s="615" t="s">
        <v>78</v>
      </c>
      <c r="D58" s="61">
        <v>60000</v>
      </c>
      <c r="E58" s="46">
        <f t="shared" si="9"/>
        <v>5000</v>
      </c>
      <c r="F58" s="322">
        <f>E58/F12</f>
        <v>0.14884053225374333</v>
      </c>
      <c r="G58" s="83">
        <f>D58*55.72%</f>
        <v>33432</v>
      </c>
      <c r="H58" s="416">
        <f t="shared" si="10"/>
        <v>0.14884148328605237</v>
      </c>
      <c r="I58" s="348">
        <f>D58-G58</f>
        <v>26568</v>
      </c>
      <c r="J58" s="544">
        <f t="shared" si="12"/>
        <v>0.14883933553387876</v>
      </c>
      <c r="K58" s="561"/>
      <c r="L58" s="430" t="s">
        <v>274</v>
      </c>
    </row>
    <row r="59" spans="1:15" s="10" customFormat="1" ht="19.5" hidden="1" customHeight="1">
      <c r="A59" s="321" t="s">
        <v>91</v>
      </c>
      <c r="B59" s="63" t="s">
        <v>264</v>
      </c>
      <c r="C59" s="615"/>
      <c r="D59" s="61">
        <f>G59+I59</f>
        <v>119000</v>
      </c>
      <c r="E59" s="46">
        <f t="shared" si="9"/>
        <v>9916.6666666666661</v>
      </c>
      <c r="F59" s="322">
        <f>E59/F12</f>
        <v>0.29520038896992429</v>
      </c>
      <c r="G59" s="83">
        <v>66000</v>
      </c>
      <c r="H59" s="416">
        <f t="shared" si="10"/>
        <v>0.2938363812179785</v>
      </c>
      <c r="I59" s="348">
        <v>53000</v>
      </c>
      <c r="J59" s="544">
        <f t="shared" si="12"/>
        <v>0.29691677142786715</v>
      </c>
      <c r="K59" s="561" t="s">
        <v>229</v>
      </c>
      <c r="L59" s="422" t="s">
        <v>274</v>
      </c>
    </row>
    <row r="60" spans="1:15" ht="45.75" hidden="1" customHeight="1">
      <c r="A60" s="51" t="s">
        <v>79</v>
      </c>
      <c r="B60" s="71" t="s">
        <v>258</v>
      </c>
      <c r="C60" s="616" t="s">
        <v>80</v>
      </c>
      <c r="D60" s="54">
        <v>100000</v>
      </c>
      <c r="E60" s="46">
        <f t="shared" si="9"/>
        <v>8333.3333333333339</v>
      </c>
      <c r="F60" s="435">
        <f>E60/F12</f>
        <v>0.24806755375623893</v>
      </c>
      <c r="G60" s="49">
        <f>D60*55.72%</f>
        <v>55720</v>
      </c>
      <c r="H60" s="416">
        <f t="shared" si="10"/>
        <v>0.2480691388100873</v>
      </c>
      <c r="I60" s="323">
        <f>D60-G60</f>
        <v>44280</v>
      </c>
      <c r="J60" s="544">
        <f t="shared" si="12"/>
        <v>0.24806555922313131</v>
      </c>
      <c r="K60" s="558"/>
      <c r="L60" s="422" t="s">
        <v>274</v>
      </c>
    </row>
    <row r="61" spans="1:15" ht="21" hidden="1" customHeight="1">
      <c r="A61" s="73" t="s">
        <v>81</v>
      </c>
      <c r="B61" s="344" t="s">
        <v>82</v>
      </c>
      <c r="C61" s="608" t="s">
        <v>83</v>
      </c>
      <c r="D61" s="650">
        <v>195000</v>
      </c>
      <c r="E61" s="61">
        <f t="shared" si="9"/>
        <v>16250</v>
      </c>
      <c r="F61" s="436">
        <f>E61/F12</f>
        <v>0.48373172982466583</v>
      </c>
      <c r="G61" s="287">
        <f>D61*55.72%</f>
        <v>108654</v>
      </c>
      <c r="H61" s="416">
        <f t="shared" si="10"/>
        <v>0.48373482067967027</v>
      </c>
      <c r="I61" s="364">
        <f>D61-G61</f>
        <v>86346</v>
      </c>
      <c r="J61" s="544">
        <f t="shared" si="12"/>
        <v>0.48372784048510603</v>
      </c>
      <c r="K61" s="558"/>
      <c r="L61" s="422" t="s">
        <v>274</v>
      </c>
    </row>
    <row r="62" spans="1:15" ht="21" hidden="1" customHeight="1" thickBot="1">
      <c r="A62" s="73"/>
      <c r="B62" s="193" t="s">
        <v>315</v>
      </c>
      <c r="C62" s="617"/>
      <c r="D62" s="105">
        <f>(33200+41165+10920+14368+34495)*1.302</f>
        <v>174660.696</v>
      </c>
      <c r="E62" s="109">
        <f>D62/12</f>
        <v>14555.057999999999</v>
      </c>
      <c r="F62" s="437">
        <f>E62/F12</f>
        <v>0.43327651594082095</v>
      </c>
      <c r="G62" s="428">
        <f>D62*55.72%</f>
        <v>97320.939811200005</v>
      </c>
      <c r="H62" s="418">
        <f t="shared" si="10"/>
        <v>0.43327928440690461</v>
      </c>
      <c r="I62" s="358">
        <f>D62-G62</f>
        <v>77339.756188799991</v>
      </c>
      <c r="J62" s="384">
        <f t="shared" si="12"/>
        <v>0.43327303227541325</v>
      </c>
      <c r="K62" s="553"/>
      <c r="L62" s="466" t="s">
        <v>331</v>
      </c>
    </row>
    <row r="63" spans="1:15" ht="23.25" hidden="1" customHeight="1" thickBot="1">
      <c r="A63" s="335" t="s">
        <v>84</v>
      </c>
      <c r="B63" s="408" t="s">
        <v>85</v>
      </c>
      <c r="C63" s="618"/>
      <c r="D63" s="409">
        <f>SUM(D64:D76)</f>
        <v>3980566</v>
      </c>
      <c r="E63" s="438">
        <f>SUM(E64:E76)</f>
        <v>331713.83333333337</v>
      </c>
      <c r="F63" s="485">
        <f>SUM(F65:F76)</f>
        <v>9.874492701852569</v>
      </c>
      <c r="G63" s="409">
        <f>SUM(G64:G76)</f>
        <v>2306789.7008000002</v>
      </c>
      <c r="H63" s="410">
        <f>H64+H67+H69+H71+H72+H73+H74+H75+H76</f>
        <v>10.269980877484475</v>
      </c>
      <c r="I63" s="411">
        <f>SUM(I64:I76)</f>
        <v>1673776.2992</v>
      </c>
      <c r="J63" s="392">
        <f>J67+J69+J71+J72+J73+J74+J75+J76</f>
        <v>9.3768349971876965</v>
      </c>
      <c r="K63" s="562"/>
      <c r="L63" s="332"/>
    </row>
    <row r="64" spans="1:15" ht="22.5" hidden="1" customHeight="1" thickBot="1">
      <c r="A64" s="394"/>
      <c r="B64" s="505" t="s">
        <v>215</v>
      </c>
      <c r="C64" s="619"/>
      <c r="D64" s="347"/>
      <c r="E64" s="224"/>
      <c r="F64" s="483"/>
      <c r="G64" s="481"/>
      <c r="H64" s="433"/>
      <c r="I64" s="481"/>
      <c r="J64" s="393"/>
      <c r="K64" s="563"/>
      <c r="L64" s="463"/>
    </row>
    <row r="65" spans="1:12" ht="21" hidden="1" customHeight="1" thickBot="1">
      <c r="A65" s="92" t="s">
        <v>222</v>
      </c>
      <c r="B65" s="510" t="s">
        <v>270</v>
      </c>
      <c r="C65" s="620"/>
      <c r="D65" s="109"/>
      <c r="E65" s="480" t="s">
        <v>271</v>
      </c>
      <c r="F65" s="482"/>
      <c r="G65" s="396"/>
      <c r="H65" s="432"/>
      <c r="I65" s="396"/>
      <c r="J65" s="484"/>
      <c r="K65" s="564" t="s">
        <v>272</v>
      </c>
      <c r="L65" s="464" t="s">
        <v>274</v>
      </c>
    </row>
    <row r="66" spans="1:12" ht="22.5" hidden="1" customHeight="1">
      <c r="A66" s="43"/>
      <c r="B66" s="511" t="s">
        <v>53</v>
      </c>
      <c r="C66" s="621"/>
      <c r="D66" s="46"/>
      <c r="E66" s="47"/>
      <c r="F66" s="446"/>
      <c r="G66" s="442"/>
      <c r="H66" s="397"/>
      <c r="I66" s="451"/>
      <c r="J66" s="457"/>
      <c r="K66" s="565"/>
      <c r="L66" s="463"/>
    </row>
    <row r="67" spans="1:12" ht="22.5" hidden="1" customHeight="1" thickBot="1">
      <c r="A67" s="92"/>
      <c r="B67" s="512" t="s">
        <v>263</v>
      </c>
      <c r="C67" s="620"/>
      <c r="D67" s="109">
        <v>50002</v>
      </c>
      <c r="E67" s="440">
        <f t="shared" ref="E67:E76" si="15">D67/12</f>
        <v>4166.833333333333</v>
      </c>
      <c r="F67" s="447">
        <f>E67/F12</f>
        <v>0.12403873822919456</v>
      </c>
      <c r="G67" s="443"/>
      <c r="H67" s="399">
        <f t="shared" ref="H67:H96" si="16">G67/G$12/12</f>
        <v>0</v>
      </c>
      <c r="I67" s="452">
        <f>D67</f>
        <v>50002</v>
      </c>
      <c r="J67" s="458">
        <f t="shared" ref="J67:J96" si="17">I67/H$12/12</f>
        <v>0.28012136613087196</v>
      </c>
      <c r="K67" s="566"/>
      <c r="L67" s="19" t="s">
        <v>331</v>
      </c>
    </row>
    <row r="68" spans="1:12" ht="22.5" hidden="1" customHeight="1">
      <c r="A68" s="43"/>
      <c r="B68" s="511" t="s">
        <v>219</v>
      </c>
      <c r="C68" s="621"/>
      <c r="D68" s="46"/>
      <c r="E68" s="47"/>
      <c r="F68" s="448"/>
      <c r="G68" s="442"/>
      <c r="H68" s="398"/>
      <c r="I68" s="451"/>
      <c r="J68" s="459"/>
      <c r="K68" s="565"/>
      <c r="L68" s="465"/>
    </row>
    <row r="69" spans="1:12" s="10" customFormat="1" ht="22.5" hidden="1" customHeight="1" thickBot="1">
      <c r="A69" s="400" t="s">
        <v>88</v>
      </c>
      <c r="B69" s="513" t="s">
        <v>220</v>
      </c>
      <c r="C69" s="622"/>
      <c r="D69" s="218">
        <v>602000</v>
      </c>
      <c r="E69" s="356">
        <f t="shared" si="15"/>
        <v>50166.666666666664</v>
      </c>
      <c r="F69" s="449">
        <f>E69/F12</f>
        <v>1.4933666736125581</v>
      </c>
      <c r="G69" s="444">
        <v>100000</v>
      </c>
      <c r="H69" s="401">
        <f t="shared" si="16"/>
        <v>0.44520663820905831</v>
      </c>
      <c r="I69" s="453">
        <v>502000</v>
      </c>
      <c r="J69" s="460">
        <f t="shared" si="17"/>
        <v>2.8123060237130062</v>
      </c>
      <c r="K69" s="567" t="s">
        <v>86</v>
      </c>
      <c r="L69" s="466" t="s">
        <v>331</v>
      </c>
    </row>
    <row r="70" spans="1:12" ht="22.5" hidden="1" customHeight="1">
      <c r="A70" s="394"/>
      <c r="B70" s="505" t="s">
        <v>259</v>
      </c>
      <c r="C70" s="619"/>
      <c r="D70" s="347"/>
      <c r="E70" s="441"/>
      <c r="F70" s="446"/>
      <c r="G70" s="431"/>
      <c r="H70" s="402">
        <f>SUM(H71:H76)</f>
        <v>9.8247742392754169</v>
      </c>
      <c r="I70" s="454"/>
      <c r="J70" s="461">
        <f>SUM(J71:J76)</f>
        <v>6.2844076073438169</v>
      </c>
      <c r="K70" s="568"/>
      <c r="L70" s="463"/>
    </row>
    <row r="71" spans="1:12" ht="37.5" hidden="1" customHeight="1">
      <c r="A71" s="51" t="s">
        <v>89</v>
      </c>
      <c r="B71" s="506" t="s">
        <v>337</v>
      </c>
      <c r="C71" s="623"/>
      <c r="D71" s="439">
        <f>25000*4+25*1500*4+3*80000+15000</f>
        <v>505000</v>
      </c>
      <c r="E71" s="336">
        <f t="shared" si="15"/>
        <v>42083.333333333336</v>
      </c>
      <c r="F71" s="450">
        <f>E71/F12</f>
        <v>1.2527411464690066</v>
      </c>
      <c r="G71" s="349">
        <f>25000*4+25*1500*4+3*80000+15000</f>
        <v>505000</v>
      </c>
      <c r="H71" s="381">
        <f t="shared" si="16"/>
        <v>2.2482935229557444</v>
      </c>
      <c r="I71" s="256"/>
      <c r="J71" s="462">
        <f t="shared" si="17"/>
        <v>0</v>
      </c>
      <c r="K71" s="569" t="s">
        <v>235</v>
      </c>
      <c r="L71" s="466" t="s">
        <v>331</v>
      </c>
    </row>
    <row r="72" spans="1:12" ht="34.5" hidden="1" customHeight="1">
      <c r="A72" s="51" t="s">
        <v>90</v>
      </c>
      <c r="B72" s="506" t="s">
        <v>336</v>
      </c>
      <c r="C72" s="623"/>
      <c r="D72" s="61">
        <f>286000</f>
        <v>286000</v>
      </c>
      <c r="E72" s="336">
        <f t="shared" si="15"/>
        <v>23833.333333333332</v>
      </c>
      <c r="F72" s="450">
        <f>E72/F12</f>
        <v>0.70947320374284317</v>
      </c>
      <c r="G72" s="349">
        <f>D72-I72</f>
        <v>214000</v>
      </c>
      <c r="H72" s="382">
        <f t="shared" si="16"/>
        <v>0.95274220576738478</v>
      </c>
      <c r="I72" s="256">
        <v>72000</v>
      </c>
      <c r="J72" s="462">
        <f t="shared" si="17"/>
        <v>0.40335863288314028</v>
      </c>
      <c r="K72" s="569" t="s">
        <v>234</v>
      </c>
      <c r="L72" s="466" t="s">
        <v>331</v>
      </c>
    </row>
    <row r="73" spans="1:12" ht="32.25" hidden="1" customHeight="1">
      <c r="A73" s="51" t="s">
        <v>91</v>
      </c>
      <c r="B73" s="506" t="s">
        <v>316</v>
      </c>
      <c r="C73" s="623"/>
      <c r="D73" s="61">
        <v>166800</v>
      </c>
      <c r="E73" s="336">
        <f t="shared" si="15"/>
        <v>13900</v>
      </c>
      <c r="F73" s="450">
        <f>E73/F12</f>
        <v>0.41377667966540649</v>
      </c>
      <c r="G73" s="349">
        <f>D73</f>
        <v>166800</v>
      </c>
      <c r="H73" s="382">
        <f t="shared" si="16"/>
        <v>0.74260467253270923</v>
      </c>
      <c r="I73" s="455"/>
      <c r="J73" s="462">
        <f t="shared" si="17"/>
        <v>0</v>
      </c>
      <c r="K73" s="570" t="s">
        <v>229</v>
      </c>
      <c r="L73" s="466" t="s">
        <v>331</v>
      </c>
    </row>
    <row r="74" spans="1:12" ht="54.75" hidden="1" customHeight="1">
      <c r="A74" s="51" t="s">
        <v>240</v>
      </c>
      <c r="B74" s="507" t="s">
        <v>328</v>
      </c>
      <c r="C74" s="623" t="s">
        <v>80</v>
      </c>
      <c r="D74" s="61">
        <f>410000+31200</f>
        <v>441200</v>
      </c>
      <c r="E74" s="336">
        <f t="shared" si="15"/>
        <v>36766.666666666664</v>
      </c>
      <c r="F74" s="450">
        <f>E74/F12</f>
        <v>1.0944740471725261</v>
      </c>
      <c r="G74" s="349">
        <f>D74*55.72%</f>
        <v>245836.64</v>
      </c>
      <c r="H74" s="382">
        <f t="shared" si="16"/>
        <v>1.0944810404301053</v>
      </c>
      <c r="I74" s="455">
        <f t="shared" ref="I74" si="18">D74-G74</f>
        <v>195363.36</v>
      </c>
      <c r="J74" s="462">
        <f t="shared" si="17"/>
        <v>1.0944652472924552</v>
      </c>
      <c r="K74" s="570"/>
      <c r="L74" s="466" t="s">
        <v>331</v>
      </c>
    </row>
    <row r="75" spans="1:12" ht="27" hidden="1" customHeight="1">
      <c r="A75" s="51" t="s">
        <v>241</v>
      </c>
      <c r="B75" s="508" t="s">
        <v>217</v>
      </c>
      <c r="C75" s="610" t="s">
        <v>92</v>
      </c>
      <c r="D75" s="61">
        <f>(29000+24000+26000+35000)*12*1.302</f>
        <v>1781136</v>
      </c>
      <c r="E75" s="336">
        <f t="shared" si="15"/>
        <v>148428</v>
      </c>
      <c r="F75" s="450">
        <f>E75/F12</f>
        <v>4.4184205042717233</v>
      </c>
      <c r="G75" s="350">
        <f>D75*55.72%</f>
        <v>992448.97920000006</v>
      </c>
      <c r="H75" s="382">
        <f t="shared" si="16"/>
        <v>4.4184487362364369</v>
      </c>
      <c r="I75" s="287">
        <f>D75-G75</f>
        <v>788687.02079999994</v>
      </c>
      <c r="J75" s="462">
        <f t="shared" si="17"/>
        <v>4.4183849789245118</v>
      </c>
      <c r="K75" s="570" t="s">
        <v>218</v>
      </c>
      <c r="L75" s="270" t="s">
        <v>274</v>
      </c>
    </row>
    <row r="76" spans="1:12" ht="27" hidden="1" customHeight="1" thickBot="1">
      <c r="A76" s="92"/>
      <c r="B76" s="509" t="s">
        <v>277</v>
      </c>
      <c r="C76" s="622"/>
      <c r="D76" s="109">
        <f>(29000+24000+26000+35000)*1.302</f>
        <v>148428</v>
      </c>
      <c r="E76" s="440">
        <f t="shared" si="15"/>
        <v>12369</v>
      </c>
      <c r="F76" s="447">
        <f>E76/F12</f>
        <v>0.36820170868931029</v>
      </c>
      <c r="G76" s="445">
        <f>D76*55.72%</f>
        <v>82704.081600000005</v>
      </c>
      <c r="H76" s="399">
        <f t="shared" si="16"/>
        <v>0.3682040613530364</v>
      </c>
      <c r="I76" s="456">
        <f>D76-G76</f>
        <v>65723.918399999995</v>
      </c>
      <c r="J76" s="458">
        <f t="shared" si="17"/>
        <v>0.3681987482437093</v>
      </c>
      <c r="K76" s="566"/>
      <c r="L76" s="466" t="s">
        <v>331</v>
      </c>
    </row>
    <row r="77" spans="1:12" ht="46.5" hidden="1" customHeight="1" thickBot="1">
      <c r="A77" s="385">
        <v>2</v>
      </c>
      <c r="B77" s="386" t="s">
        <v>93</v>
      </c>
      <c r="C77" s="624"/>
      <c r="D77" s="387">
        <f>SUM(D79:D96)</f>
        <v>5277841.3000000007</v>
      </c>
      <c r="E77" s="387">
        <f>SUM(E79:E96)</f>
        <v>439820.10833333328</v>
      </c>
      <c r="F77" s="388">
        <f>SUM(F79:F96)</f>
        <v>13.092611804046475</v>
      </c>
      <c r="G77" s="387">
        <f>SUM(G79:G96)</f>
        <v>2940813.1723599997</v>
      </c>
      <c r="H77" s="389">
        <f>H79+H81+H82+H83+H85+H86+H87+H88+H89+H90+H92+H93+H94+H95+H96+H91</f>
        <v>13.09269546067312</v>
      </c>
      <c r="I77" s="390">
        <f>SUM(I79:I96)</f>
        <v>2337028.1276399996</v>
      </c>
      <c r="J77" s="391">
        <f>J79+J81+J82+J83+J85+J86+J87+J88+J89+J90+J92+J93+J94+J95+J96+J91</f>
        <v>13.092506535754382</v>
      </c>
      <c r="K77" s="571"/>
      <c r="L77" s="583"/>
    </row>
    <row r="78" spans="1:12" ht="17.25" hidden="1" customHeight="1">
      <c r="A78" s="394"/>
      <c r="B78" s="403" t="s">
        <v>94</v>
      </c>
      <c r="C78" s="625"/>
      <c r="D78" s="477"/>
      <c r="E78" s="441"/>
      <c r="F78" s="473" t="e">
        <f>E78/#REF!</f>
        <v>#REF!</v>
      </c>
      <c r="G78" s="471"/>
      <c r="H78" s="395"/>
      <c r="I78" s="468"/>
      <c r="J78" s="469"/>
      <c r="K78" s="568"/>
      <c r="L78" s="463"/>
    </row>
    <row r="79" spans="1:12" ht="16.5" hidden="1" customHeight="1" thickBot="1">
      <c r="A79" s="85" t="s">
        <v>242</v>
      </c>
      <c r="B79" s="232" t="s">
        <v>95</v>
      </c>
      <c r="C79" s="626" t="s">
        <v>96</v>
      </c>
      <c r="D79" s="122">
        <f>16000+9700+10000</f>
        <v>35700</v>
      </c>
      <c r="E79" s="356">
        <f t="shared" si="9"/>
        <v>2975</v>
      </c>
      <c r="F79" s="449">
        <f>E79/F12</f>
        <v>8.8560116690977284E-2</v>
      </c>
      <c r="G79" s="358">
        <f>D79*55.72%</f>
        <v>19892.04</v>
      </c>
      <c r="H79" s="404">
        <f t="shared" si="16"/>
        <v>8.8560682555201165E-2</v>
      </c>
      <c r="I79" s="428">
        <f>D79-G79</f>
        <v>15807.96</v>
      </c>
      <c r="J79" s="470">
        <f t="shared" si="17"/>
        <v>8.8559404642657866E-2</v>
      </c>
      <c r="K79" s="572"/>
      <c r="L79" s="467" t="s">
        <v>274</v>
      </c>
    </row>
    <row r="80" spans="1:12" ht="17.25" hidden="1" customHeight="1">
      <c r="A80" s="394"/>
      <c r="B80" s="501" t="s">
        <v>98</v>
      </c>
      <c r="C80" s="627"/>
      <c r="D80" s="478"/>
      <c r="E80" s="441"/>
      <c r="F80" s="446"/>
      <c r="G80" s="471">
        <f t="shared" ref="G80:G96" si="19">D80*55.72%</f>
        <v>0</v>
      </c>
      <c r="H80" s="395"/>
      <c r="I80" s="468"/>
      <c r="J80" s="469"/>
      <c r="K80" s="568"/>
      <c r="L80" s="463"/>
    </row>
    <row r="81" spans="1:12" ht="19.5" hidden="1" customHeight="1">
      <c r="A81" s="51" t="s">
        <v>97</v>
      </c>
      <c r="B81" s="499" t="s">
        <v>99</v>
      </c>
      <c r="C81" s="589" t="s">
        <v>100</v>
      </c>
      <c r="D81" s="61">
        <f>(60000*2+24000+13550)*12+75000*12</f>
        <v>2790600</v>
      </c>
      <c r="E81" s="336">
        <f t="shared" si="9"/>
        <v>232550</v>
      </c>
      <c r="F81" s="450">
        <f>E81/F12</f>
        <v>6.9225731551216025</v>
      </c>
      <c r="G81" s="350">
        <f t="shared" si="19"/>
        <v>1554922.32</v>
      </c>
      <c r="H81" s="382">
        <f t="shared" si="16"/>
        <v>6.9226173876342969</v>
      </c>
      <c r="I81" s="287">
        <f>D81-G81</f>
        <v>1235677.68</v>
      </c>
      <c r="J81" s="462">
        <f t="shared" si="17"/>
        <v>6.9225174956807018</v>
      </c>
      <c r="K81" s="570"/>
      <c r="L81" s="270" t="s">
        <v>274</v>
      </c>
    </row>
    <row r="82" spans="1:12" ht="21" hidden="1" customHeight="1">
      <c r="A82" s="51" t="s">
        <v>102</v>
      </c>
      <c r="B82" s="499" t="s">
        <v>101</v>
      </c>
      <c r="C82" s="589"/>
      <c r="D82" s="61">
        <f>D81*0.302</f>
        <v>842761.2</v>
      </c>
      <c r="E82" s="336">
        <f>D82/12</f>
        <v>70230.099999999991</v>
      </c>
      <c r="F82" s="450">
        <f>E82/F12</f>
        <v>2.0906170928467236</v>
      </c>
      <c r="G82" s="350">
        <f t="shared" si="19"/>
        <v>469586.54064000002</v>
      </c>
      <c r="H82" s="382">
        <f t="shared" si="16"/>
        <v>2.0906304510655578</v>
      </c>
      <c r="I82" s="287">
        <f>D82-G82</f>
        <v>373174.65935999993</v>
      </c>
      <c r="J82" s="462">
        <f t="shared" si="17"/>
        <v>2.0906002836955717</v>
      </c>
      <c r="K82" s="570"/>
      <c r="L82" s="270" t="s">
        <v>274</v>
      </c>
    </row>
    <row r="83" spans="1:12" ht="21" hidden="1" customHeight="1" thickBot="1">
      <c r="A83" s="85" t="s">
        <v>276</v>
      </c>
      <c r="B83" s="504" t="s">
        <v>302</v>
      </c>
      <c r="C83" s="628"/>
      <c r="D83" s="218">
        <f>(60000*2+24000+13550+75000)*1.302</f>
        <v>302780.10000000003</v>
      </c>
      <c r="E83" s="356">
        <f t="shared" ref="E83" si="20">D83/12</f>
        <v>25231.675000000003</v>
      </c>
      <c r="F83" s="449">
        <f>E83/F12</f>
        <v>0.75109918733069403</v>
      </c>
      <c r="G83" s="358">
        <f t="shared" si="19"/>
        <v>168709.07172000004</v>
      </c>
      <c r="H83" s="404">
        <f t="shared" si="16"/>
        <v>0.75110398655832133</v>
      </c>
      <c r="I83" s="428">
        <f t="shared" ref="I83" si="21">D83-G83</f>
        <v>134071.02828</v>
      </c>
      <c r="J83" s="470">
        <f t="shared" si="17"/>
        <v>0.75109314828135609</v>
      </c>
      <c r="K83" s="572"/>
      <c r="L83" s="466" t="s">
        <v>331</v>
      </c>
    </row>
    <row r="84" spans="1:12" ht="15.75" hidden="1" customHeight="1">
      <c r="A84" s="394"/>
      <c r="B84" s="501" t="s">
        <v>103</v>
      </c>
      <c r="C84" s="627"/>
      <c r="D84" s="478"/>
      <c r="E84" s="441"/>
      <c r="F84" s="446"/>
      <c r="G84" s="471">
        <f t="shared" si="19"/>
        <v>0</v>
      </c>
      <c r="H84" s="395"/>
      <c r="I84" s="468"/>
      <c r="J84" s="469"/>
      <c r="K84" s="568"/>
      <c r="L84" s="463"/>
    </row>
    <row r="85" spans="1:12" s="115" customFormat="1" ht="21" hidden="1" customHeight="1">
      <c r="A85" s="56" t="s">
        <v>243</v>
      </c>
      <c r="B85" s="502" t="s">
        <v>267</v>
      </c>
      <c r="C85" s="610" t="s">
        <v>104</v>
      </c>
      <c r="D85" s="61">
        <v>70000</v>
      </c>
      <c r="E85" s="336">
        <f t="shared" si="9"/>
        <v>5833.333333333333</v>
      </c>
      <c r="F85" s="450">
        <f>E85/F12</f>
        <v>0.17364728762936721</v>
      </c>
      <c r="G85" s="350">
        <f t="shared" si="19"/>
        <v>39004</v>
      </c>
      <c r="H85" s="382">
        <f t="shared" si="16"/>
        <v>0.17364839716706112</v>
      </c>
      <c r="I85" s="455">
        <f t="shared" ref="I85:I96" si="22">D85-G85</f>
        <v>30996</v>
      </c>
      <c r="J85" s="462">
        <f t="shared" si="17"/>
        <v>0.17364589145619191</v>
      </c>
      <c r="K85" s="573"/>
      <c r="L85" s="270" t="s">
        <v>274</v>
      </c>
    </row>
    <row r="86" spans="1:12" ht="24" hidden="1" customHeight="1">
      <c r="A86" s="51" t="s">
        <v>244</v>
      </c>
      <c r="B86" s="499" t="s">
        <v>105</v>
      </c>
      <c r="C86" s="589" t="s">
        <v>106</v>
      </c>
      <c r="D86" s="54">
        <v>70000</v>
      </c>
      <c r="E86" s="336">
        <f t="shared" si="9"/>
        <v>5833.333333333333</v>
      </c>
      <c r="F86" s="450">
        <f>E86/F12</f>
        <v>0.17364728762936721</v>
      </c>
      <c r="G86" s="350">
        <f t="shared" si="19"/>
        <v>39004</v>
      </c>
      <c r="H86" s="382">
        <f t="shared" si="16"/>
        <v>0.17364839716706112</v>
      </c>
      <c r="I86" s="287">
        <f t="shared" si="22"/>
        <v>30996</v>
      </c>
      <c r="J86" s="462">
        <f t="shared" si="17"/>
        <v>0.17364589145619191</v>
      </c>
      <c r="K86" s="570"/>
      <c r="L86" s="270" t="s">
        <v>274</v>
      </c>
    </row>
    <row r="87" spans="1:12" ht="19.5" hidden="1" customHeight="1">
      <c r="A87" s="51" t="s">
        <v>245</v>
      </c>
      <c r="B87" s="499" t="s">
        <v>107</v>
      </c>
      <c r="C87" s="589" t="s">
        <v>108</v>
      </c>
      <c r="D87" s="61">
        <v>90000</v>
      </c>
      <c r="E87" s="336">
        <f t="shared" si="9"/>
        <v>7500</v>
      </c>
      <c r="F87" s="450">
        <f>E87/F12</f>
        <v>0.22326079838061502</v>
      </c>
      <c r="G87" s="350">
        <f t="shared" si="19"/>
        <v>50148</v>
      </c>
      <c r="H87" s="382">
        <f t="shared" si="16"/>
        <v>0.22326222492907857</v>
      </c>
      <c r="I87" s="287">
        <f t="shared" si="22"/>
        <v>39852</v>
      </c>
      <c r="J87" s="462">
        <f t="shared" si="17"/>
        <v>0.22325900330081816</v>
      </c>
      <c r="K87" s="570"/>
      <c r="L87" s="270" t="s">
        <v>274</v>
      </c>
    </row>
    <row r="88" spans="1:12" ht="16.5" hidden="1" customHeight="1">
      <c r="A88" s="51" t="s">
        <v>246</v>
      </c>
      <c r="B88" s="499" t="s">
        <v>109</v>
      </c>
      <c r="C88" s="589" t="s">
        <v>110</v>
      </c>
      <c r="D88" s="54">
        <v>30000</v>
      </c>
      <c r="E88" s="336">
        <f t="shared" si="9"/>
        <v>2500</v>
      </c>
      <c r="F88" s="450">
        <f>E88/F12</f>
        <v>7.4420266126871665E-2</v>
      </c>
      <c r="G88" s="350">
        <f t="shared" si="19"/>
        <v>16716</v>
      </c>
      <c r="H88" s="382">
        <f t="shared" si="16"/>
        <v>7.4420741643026186E-2</v>
      </c>
      <c r="I88" s="287">
        <f t="shared" si="22"/>
        <v>13284</v>
      </c>
      <c r="J88" s="462">
        <f t="shared" si="17"/>
        <v>7.4419667766939382E-2</v>
      </c>
      <c r="K88" s="570"/>
      <c r="L88" s="270" t="s">
        <v>274</v>
      </c>
    </row>
    <row r="89" spans="1:12" ht="35.25" hidden="1" customHeight="1">
      <c r="A89" s="51" t="s">
        <v>247</v>
      </c>
      <c r="B89" s="499" t="s">
        <v>329</v>
      </c>
      <c r="C89" s="589" t="s">
        <v>111</v>
      </c>
      <c r="D89" s="54">
        <f>52000+6000+(15000+56000)+25000</f>
        <v>154000</v>
      </c>
      <c r="E89" s="336">
        <f>D89/12</f>
        <v>12833.333333333334</v>
      </c>
      <c r="F89" s="450">
        <f>E89/F12</f>
        <v>0.38202403278460795</v>
      </c>
      <c r="G89" s="350">
        <f t="shared" si="19"/>
        <v>85808.8</v>
      </c>
      <c r="H89" s="382">
        <f t="shared" si="16"/>
        <v>0.38202647376753446</v>
      </c>
      <c r="I89" s="287">
        <f t="shared" si="22"/>
        <v>68191.199999999997</v>
      </c>
      <c r="J89" s="462">
        <f t="shared" si="17"/>
        <v>0.38202096120362222</v>
      </c>
      <c r="K89" s="570"/>
      <c r="L89" s="466" t="s">
        <v>331</v>
      </c>
    </row>
    <row r="90" spans="1:12" ht="21.75" hidden="1" customHeight="1">
      <c r="A90" s="51" t="s">
        <v>248</v>
      </c>
      <c r="B90" s="499" t="s">
        <v>320</v>
      </c>
      <c r="C90" s="589"/>
      <c r="D90" s="54">
        <v>60000</v>
      </c>
      <c r="E90" s="336">
        <f t="shared" ref="E90:E91" si="23">D90/12</f>
        <v>5000</v>
      </c>
      <c r="F90" s="450">
        <f>E90/F12</f>
        <v>0.14884053225374333</v>
      </c>
      <c r="G90" s="350">
        <f t="shared" si="19"/>
        <v>33432</v>
      </c>
      <c r="H90" s="382">
        <f t="shared" si="16"/>
        <v>0.14884148328605237</v>
      </c>
      <c r="I90" s="287">
        <f t="shared" si="22"/>
        <v>26568</v>
      </c>
      <c r="J90" s="462">
        <f t="shared" si="17"/>
        <v>0.14883933553387876</v>
      </c>
      <c r="K90" s="570"/>
      <c r="L90" s="270" t="s">
        <v>274</v>
      </c>
    </row>
    <row r="91" spans="1:12" ht="21.75" hidden="1" customHeight="1">
      <c r="A91" s="51"/>
      <c r="B91" s="499" t="s">
        <v>330</v>
      </c>
      <c r="C91" s="589"/>
      <c r="D91" s="54">
        <v>47000</v>
      </c>
      <c r="E91" s="336">
        <f t="shared" si="23"/>
        <v>3916.6666666666665</v>
      </c>
      <c r="F91" s="450">
        <f>E91/F12</f>
        <v>0.11659175026543228</v>
      </c>
      <c r="G91" s="350">
        <f t="shared" si="19"/>
        <v>26188.400000000001</v>
      </c>
      <c r="H91" s="382">
        <f t="shared" si="16"/>
        <v>0.11659249524074104</v>
      </c>
      <c r="I91" s="287">
        <f t="shared" si="22"/>
        <v>20811.599999999999</v>
      </c>
      <c r="J91" s="462">
        <f t="shared" si="17"/>
        <v>0.1165908128348717</v>
      </c>
      <c r="K91" s="570"/>
      <c r="L91" s="270" t="s">
        <v>274</v>
      </c>
    </row>
    <row r="92" spans="1:12" ht="20.25" hidden="1" customHeight="1">
      <c r="A92" s="51" t="s">
        <v>249</v>
      </c>
      <c r="B92" s="499" t="s">
        <v>112</v>
      </c>
      <c r="C92" s="589"/>
      <c r="D92" s="54">
        <f>20000</f>
        <v>20000</v>
      </c>
      <c r="E92" s="336">
        <f t="shared" si="9"/>
        <v>1666.6666666666667</v>
      </c>
      <c r="F92" s="450">
        <f>E92/F12</f>
        <v>4.9613510751247779E-2</v>
      </c>
      <c r="G92" s="350">
        <f t="shared" si="19"/>
        <v>11144</v>
      </c>
      <c r="H92" s="382">
        <f t="shared" si="16"/>
        <v>4.9613827762017455E-2</v>
      </c>
      <c r="I92" s="287">
        <f t="shared" si="22"/>
        <v>8856</v>
      </c>
      <c r="J92" s="462">
        <f t="shared" si="17"/>
        <v>4.9613111844626266E-2</v>
      </c>
      <c r="K92" s="570"/>
      <c r="L92" s="270" t="s">
        <v>274</v>
      </c>
    </row>
    <row r="93" spans="1:12" ht="18" hidden="1" customHeight="1">
      <c r="A93" s="51" t="s">
        <v>250</v>
      </c>
      <c r="B93" s="499" t="s">
        <v>113</v>
      </c>
      <c r="C93" s="605" t="s">
        <v>344</v>
      </c>
      <c r="D93" s="54">
        <v>40000</v>
      </c>
      <c r="E93" s="336">
        <f t="shared" si="9"/>
        <v>3333.3333333333335</v>
      </c>
      <c r="F93" s="450">
        <f>E93/F12</f>
        <v>9.9227021502495558E-2</v>
      </c>
      <c r="G93" s="350">
        <f t="shared" si="19"/>
        <v>22288</v>
      </c>
      <c r="H93" s="382">
        <f t="shared" si="16"/>
        <v>9.9227655524034911E-2</v>
      </c>
      <c r="I93" s="287">
        <f t="shared" si="22"/>
        <v>17712</v>
      </c>
      <c r="J93" s="462">
        <f t="shared" si="17"/>
        <v>9.9226223689252532E-2</v>
      </c>
      <c r="K93" s="570"/>
      <c r="L93" s="270" t="s">
        <v>274</v>
      </c>
    </row>
    <row r="94" spans="1:12" ht="18.75" hidden="1" customHeight="1">
      <c r="A94" s="51" t="s">
        <v>251</v>
      </c>
      <c r="B94" s="499" t="s">
        <v>115</v>
      </c>
      <c r="C94" s="605" t="s">
        <v>116</v>
      </c>
      <c r="D94" s="54">
        <v>45000</v>
      </c>
      <c r="E94" s="336">
        <f t="shared" si="9"/>
        <v>3750</v>
      </c>
      <c r="F94" s="450">
        <f>E94/F12</f>
        <v>0.11163039919030751</v>
      </c>
      <c r="G94" s="350">
        <f t="shared" si="19"/>
        <v>25074</v>
      </c>
      <c r="H94" s="382">
        <f t="shared" si="16"/>
        <v>0.11163111246453929</v>
      </c>
      <c r="I94" s="287">
        <f t="shared" si="22"/>
        <v>19926</v>
      </c>
      <c r="J94" s="462">
        <f t="shared" si="17"/>
        <v>0.11162950165040908</v>
      </c>
      <c r="K94" s="570"/>
      <c r="L94" s="270" t="s">
        <v>274</v>
      </c>
    </row>
    <row r="95" spans="1:12" ht="18" hidden="1" customHeight="1">
      <c r="A95" s="51" t="s">
        <v>252</v>
      </c>
      <c r="B95" s="499" t="s">
        <v>260</v>
      </c>
      <c r="C95" s="605" t="s">
        <v>117</v>
      </c>
      <c r="D95" s="54">
        <v>140000</v>
      </c>
      <c r="E95" s="336">
        <f t="shared" si="9"/>
        <v>11666.666666666666</v>
      </c>
      <c r="F95" s="450">
        <f>E95/F12</f>
        <v>0.34729457525873442</v>
      </c>
      <c r="G95" s="350">
        <f t="shared" si="19"/>
        <v>78008</v>
      </c>
      <c r="H95" s="382">
        <f t="shared" si="16"/>
        <v>0.34729679433412225</v>
      </c>
      <c r="I95" s="287">
        <f t="shared" si="22"/>
        <v>61992</v>
      </c>
      <c r="J95" s="462">
        <f t="shared" si="17"/>
        <v>0.34729178291238383</v>
      </c>
      <c r="K95" s="570"/>
      <c r="L95" s="466" t="s">
        <v>331</v>
      </c>
    </row>
    <row r="96" spans="1:12" ht="21" hidden="1" customHeight="1" thickBot="1">
      <c r="A96" s="92" t="s">
        <v>317</v>
      </c>
      <c r="B96" s="503" t="s">
        <v>118</v>
      </c>
      <c r="C96" s="629"/>
      <c r="D96" s="109">
        <v>540000</v>
      </c>
      <c r="E96" s="440">
        <f t="shared" si="9"/>
        <v>45000</v>
      </c>
      <c r="F96" s="447">
        <f>E96/F12</f>
        <v>1.33956479028369</v>
      </c>
      <c r="G96" s="445">
        <f t="shared" si="19"/>
        <v>300888</v>
      </c>
      <c r="H96" s="399">
        <f t="shared" si="16"/>
        <v>1.3395733495744713</v>
      </c>
      <c r="I96" s="456">
        <f t="shared" si="22"/>
        <v>239112</v>
      </c>
      <c r="J96" s="458">
        <f t="shared" si="17"/>
        <v>1.3395540198049092</v>
      </c>
      <c r="K96" s="566"/>
      <c r="L96" s="464" t="s">
        <v>274</v>
      </c>
    </row>
    <row r="97" spans="1:12" ht="39.75" hidden="1" customHeight="1" thickBot="1">
      <c r="A97" s="405"/>
      <c r="B97" s="406" t="s">
        <v>119</v>
      </c>
      <c r="C97" s="630"/>
      <c r="D97" s="479">
        <f>D77+D63+D55+D51+D47+D44+D26</f>
        <v>18748771.343000002</v>
      </c>
      <c r="E97" s="476">
        <f>E77+E63+E55+E51+E47+E44+E26</f>
        <v>1562397.6119166669</v>
      </c>
      <c r="F97" s="474">
        <f>F77+F63+F55+F51+F47+F44+F26</f>
        <v>46.509618429930839</v>
      </c>
      <c r="G97" s="472">
        <f>G77+G63+G55+G51+G47+G44+G26</f>
        <v>10119205.532919601</v>
      </c>
      <c r="H97" s="407"/>
      <c r="I97" s="407">
        <f>I77+I63+I55+I51+I47+I44+I26</f>
        <v>8796695.8100803997</v>
      </c>
      <c r="J97" s="475"/>
      <c r="K97" s="574"/>
      <c r="L97" s="22"/>
    </row>
    <row r="98" spans="1:12" ht="20.25" hidden="1" customHeight="1">
      <c r="A98" s="7"/>
      <c r="B98" s="129"/>
      <c r="C98" s="594"/>
      <c r="D98" s="130"/>
      <c r="E98" s="130"/>
      <c r="F98" s="517">
        <f>F96+F94+F92+F88+F87+F86+F85+F82+F81+F79+F75+F60+F58+F57+F56+F51+F47+F44+F61+F93+F90+F91+F59</f>
        <v>29.396130510820708</v>
      </c>
      <c r="G98" s="131"/>
      <c r="H98" s="131"/>
      <c r="I98" s="130"/>
      <c r="J98" s="130"/>
    </row>
    <row r="99" spans="1:12" ht="32.25" hidden="1" customHeight="1">
      <c r="A99" s="7"/>
      <c r="B99" s="129"/>
      <c r="C99" s="594"/>
      <c r="D99" s="130"/>
      <c r="E99" s="130"/>
      <c r="F99" s="130"/>
      <c r="G99" s="131"/>
      <c r="H99" s="131"/>
      <c r="I99" s="130"/>
      <c r="J99" s="130"/>
    </row>
    <row r="100" spans="1:12" ht="7.5" customHeight="1">
      <c r="C100" s="593"/>
      <c r="D100" s="9"/>
      <c r="E100" s="10"/>
      <c r="F100" s="4"/>
      <c r="G100" s="132"/>
      <c r="H100" s="132"/>
    </row>
    <row r="101" spans="1:12" ht="48" hidden="1" thickBot="1">
      <c r="A101" s="133" t="s">
        <v>120</v>
      </c>
      <c r="B101" s="134" t="s">
        <v>121</v>
      </c>
      <c r="C101" s="631"/>
      <c r="D101" s="136">
        <f>D103+D107+D113</f>
        <v>10480740.687000001</v>
      </c>
      <c r="E101" s="136">
        <f>SUM(E103:E120)</f>
        <v>0</v>
      </c>
      <c r="F101" s="136"/>
      <c r="G101" s="136">
        <f>SUM(G103:G120)</f>
        <v>10737461.792365</v>
      </c>
      <c r="H101" s="136"/>
      <c r="I101" s="136">
        <f>SUM(I103:I120)</f>
        <v>9775374.5543750003</v>
      </c>
      <c r="J101" s="365"/>
    </row>
    <row r="102" spans="1:12" ht="15.75" hidden="1">
      <c r="A102" s="137"/>
      <c r="B102" s="138"/>
      <c r="C102" s="632"/>
      <c r="D102" s="140"/>
      <c r="E102" s="140"/>
      <c r="F102" s="140"/>
      <c r="G102" s="140"/>
      <c r="H102" s="140"/>
      <c r="I102" s="140"/>
      <c r="J102" s="140"/>
    </row>
    <row r="103" spans="1:12" ht="24.75" hidden="1">
      <c r="A103" s="73"/>
      <c r="B103" s="141" t="s">
        <v>122</v>
      </c>
      <c r="C103" s="614" t="s">
        <v>123</v>
      </c>
      <c r="D103" s="143">
        <f>G103+I103</f>
        <v>4830199.5</v>
      </c>
      <c r="E103" s="144"/>
      <c r="F103" s="143"/>
      <c r="G103" s="145">
        <v>2685592</v>
      </c>
      <c r="H103" s="145"/>
      <c r="I103" s="145">
        <v>2144607.5</v>
      </c>
      <c r="J103" s="366"/>
    </row>
    <row r="104" spans="1:12" hidden="1">
      <c r="A104" s="73"/>
      <c r="B104" s="58" t="s">
        <v>124</v>
      </c>
      <c r="C104" s="614"/>
      <c r="D104" s="143">
        <v>1839000</v>
      </c>
      <c r="E104" s="144"/>
      <c r="F104" s="143"/>
      <c r="G104" s="145"/>
      <c r="H104" s="145"/>
      <c r="I104" s="145"/>
      <c r="J104" s="366"/>
    </row>
    <row r="105" spans="1:12" hidden="1">
      <c r="A105" s="73"/>
      <c r="B105" s="58" t="s">
        <v>125</v>
      </c>
      <c r="C105" s="614"/>
      <c r="D105" s="143">
        <v>1631000</v>
      </c>
      <c r="E105" s="144"/>
      <c r="F105" s="143"/>
      <c r="G105" s="143">
        <f>24989*1.103*33.765</f>
        <v>930660.20425499999</v>
      </c>
      <c r="H105" s="143"/>
      <c r="I105" s="143">
        <f>33.765*1.103*20902</f>
        <v>778448.90109000006</v>
      </c>
      <c r="J105" s="367"/>
    </row>
    <row r="106" spans="1:12" hidden="1">
      <c r="A106" s="73"/>
      <c r="B106" s="58" t="s">
        <v>126</v>
      </c>
      <c r="C106" s="633"/>
      <c r="D106" s="143">
        <f>D103-D104-D105</f>
        <v>1360199.5</v>
      </c>
      <c r="E106" s="144"/>
      <c r="F106" s="143"/>
      <c r="G106" s="143">
        <f>15338*1.103*33.765+37000</f>
        <v>608229.98970999999</v>
      </c>
      <c r="H106" s="143"/>
      <c r="I106" s="143">
        <f>12543*1.103*33.765+37000</f>
        <v>504136.37768500001</v>
      </c>
      <c r="J106" s="367"/>
    </row>
    <row r="107" spans="1:12" ht="36.75" hidden="1">
      <c r="A107" s="85"/>
      <c r="B107" s="147" t="s">
        <v>127</v>
      </c>
      <c r="C107" s="634" t="s">
        <v>128</v>
      </c>
      <c r="D107" s="143">
        <f t="shared" ref="D107:D112" si="24">G107+I107</f>
        <v>4963466.7870000005</v>
      </c>
      <c r="E107" s="144"/>
      <c r="F107" s="143"/>
      <c r="G107" s="143">
        <f>560182*4.593</f>
        <v>2572915.926</v>
      </c>
      <c r="H107" s="143"/>
      <c r="I107" s="143">
        <f>520477*4.593</f>
        <v>2390550.861</v>
      </c>
      <c r="J107" s="367"/>
    </row>
    <row r="108" spans="1:12" hidden="1">
      <c r="A108" s="85"/>
      <c r="B108" s="149" t="s">
        <v>129</v>
      </c>
      <c r="C108" s="634"/>
      <c r="D108" s="143">
        <f t="shared" si="24"/>
        <v>4189762.1579999998</v>
      </c>
      <c r="E108" s="144"/>
      <c r="F108" s="150"/>
      <c r="G108" s="143">
        <f>434933*4.593</f>
        <v>1997647.2690000001</v>
      </c>
      <c r="H108" s="143"/>
      <c r="I108" s="143">
        <f>477273*4.593</f>
        <v>2192114.889</v>
      </c>
      <c r="J108" s="367"/>
    </row>
    <row r="109" spans="1:12" hidden="1">
      <c r="A109" s="85"/>
      <c r="B109" s="149" t="s">
        <v>130</v>
      </c>
      <c r="C109" s="634"/>
      <c r="D109" s="143">
        <f t="shared" si="24"/>
        <v>773704.62899999996</v>
      </c>
      <c r="E109" s="144"/>
      <c r="F109" s="151"/>
      <c r="G109" s="143">
        <f>82909*4.593</f>
        <v>380801.03700000001</v>
      </c>
      <c r="H109" s="143"/>
      <c r="I109" s="143">
        <f>85544*4.593</f>
        <v>392903.592</v>
      </c>
      <c r="J109" s="367"/>
    </row>
    <row r="110" spans="1:12" ht="15.75" hidden="1">
      <c r="A110" s="85"/>
      <c r="B110" s="147" t="s">
        <v>131</v>
      </c>
      <c r="C110" s="635" t="s">
        <v>132</v>
      </c>
      <c r="D110" s="153">
        <f t="shared" si="24"/>
        <v>77019</v>
      </c>
      <c r="E110" s="144"/>
      <c r="F110" s="143"/>
      <c r="G110" s="143">
        <f>G111+G112</f>
        <v>41227</v>
      </c>
      <c r="H110" s="143"/>
      <c r="I110" s="143">
        <f>I111+I112</f>
        <v>35792</v>
      </c>
      <c r="J110" s="367"/>
    </row>
    <row r="111" spans="1:12" hidden="1">
      <c r="A111" s="85"/>
      <c r="B111" s="149" t="s">
        <v>133</v>
      </c>
      <c r="C111" s="240"/>
      <c r="D111" s="153">
        <f t="shared" si="24"/>
        <v>65013.287183098459</v>
      </c>
      <c r="E111" s="144"/>
      <c r="F111" s="143"/>
      <c r="G111" s="143">
        <v>34800.540005681716</v>
      </c>
      <c r="H111" s="143"/>
      <c r="I111" s="143">
        <v>30212.747177416742</v>
      </c>
      <c r="J111" s="367"/>
    </row>
    <row r="112" spans="1:12" hidden="1">
      <c r="A112" s="85"/>
      <c r="B112" s="149" t="s">
        <v>134</v>
      </c>
      <c r="C112" s="240"/>
      <c r="D112" s="153">
        <f t="shared" si="24"/>
        <v>12005.71281690154</v>
      </c>
      <c r="E112" s="144"/>
      <c r="F112" s="143"/>
      <c r="G112" s="143">
        <v>6426.459994318282</v>
      </c>
      <c r="H112" s="143"/>
      <c r="I112" s="143">
        <v>5579.2528225832575</v>
      </c>
      <c r="J112" s="367"/>
    </row>
    <row r="113" spans="1:10" ht="24.75" hidden="1">
      <c r="A113" s="85"/>
      <c r="B113" s="147" t="s">
        <v>135</v>
      </c>
      <c r="C113" s="634" t="s">
        <v>136</v>
      </c>
      <c r="D113" s="143">
        <f>D115+D114</f>
        <v>687074.39999999991</v>
      </c>
      <c r="E113" s="144"/>
      <c r="F113" s="143"/>
      <c r="G113" s="145">
        <f>D113*0.556</f>
        <v>382013.3664</v>
      </c>
      <c r="H113" s="145"/>
      <c r="I113" s="145">
        <f>D113*0.444</f>
        <v>305061.03359999997</v>
      </c>
      <c r="J113" s="366"/>
    </row>
    <row r="114" spans="1:10" hidden="1">
      <c r="A114" s="85"/>
      <c r="B114" s="149" t="s">
        <v>137</v>
      </c>
      <c r="C114" s="634"/>
      <c r="D114" s="143">
        <f>G114+I114</f>
        <v>280195.19999999995</v>
      </c>
      <c r="E114" s="144"/>
      <c r="F114" s="143"/>
      <c r="G114" s="143">
        <v>109295.99999999999</v>
      </c>
      <c r="H114" s="143"/>
      <c r="I114" s="143">
        <v>170899.19999999995</v>
      </c>
      <c r="J114" s="367"/>
    </row>
    <row r="115" spans="1:10" hidden="1">
      <c r="A115" s="85"/>
      <c r="B115" s="149" t="s">
        <v>133</v>
      </c>
      <c r="C115" s="634"/>
      <c r="D115" s="143">
        <f>G115+I115</f>
        <v>406879.19999999995</v>
      </c>
      <c r="E115" s="144"/>
      <c r="F115" s="143"/>
      <c r="G115" s="143">
        <v>214451.99999999997</v>
      </c>
      <c r="H115" s="143"/>
      <c r="I115" s="143">
        <v>192427.2</v>
      </c>
      <c r="J115" s="367"/>
    </row>
    <row r="116" spans="1:10" ht="18.75" hidden="1">
      <c r="A116" s="85"/>
      <c r="B116" s="154" t="s">
        <v>138</v>
      </c>
      <c r="C116" s="636"/>
      <c r="D116" s="156"/>
      <c r="E116" s="157"/>
      <c r="F116" s="158">
        <f>(D108+D111+D115)/F10/12</f>
        <v>12.164129924157995</v>
      </c>
      <c r="G116" s="143"/>
      <c r="H116" s="143"/>
      <c r="I116" s="143"/>
      <c r="J116" s="367"/>
    </row>
    <row r="117" spans="1:10" ht="18.75" hidden="1">
      <c r="A117" s="85"/>
      <c r="B117" s="154" t="s">
        <v>139</v>
      </c>
      <c r="C117" s="636"/>
      <c r="D117" s="156"/>
      <c r="E117" s="157"/>
      <c r="F117" s="158">
        <f>(D109+D112+D114)/27881</f>
        <v>38.230534837950628</v>
      </c>
      <c r="G117" s="143"/>
      <c r="H117" s="143"/>
      <c r="I117" s="143"/>
      <c r="J117" s="367"/>
    </row>
    <row r="118" spans="1:10" ht="48.75" hidden="1">
      <c r="A118" s="85"/>
      <c r="B118" s="149" t="s">
        <v>140</v>
      </c>
      <c r="C118" s="634" t="s">
        <v>141</v>
      </c>
      <c r="D118" s="143">
        <f>G118+I118</f>
        <v>1140312</v>
      </c>
      <c r="E118" s="144"/>
      <c r="F118" s="143"/>
      <c r="G118" s="143">
        <f>438000+197700</f>
        <v>635700</v>
      </c>
      <c r="H118" s="143"/>
      <c r="I118" s="143">
        <f>157872+346740</f>
        <v>504612</v>
      </c>
      <c r="J118" s="367"/>
    </row>
    <row r="119" spans="1:10" hidden="1">
      <c r="A119" s="159"/>
      <c r="B119" s="160" t="s">
        <v>142</v>
      </c>
      <c r="C119" s="607" t="s">
        <v>143</v>
      </c>
      <c r="D119" s="143">
        <f>G119+I119</f>
        <v>265729</v>
      </c>
      <c r="E119" s="144"/>
      <c r="F119" s="143"/>
      <c r="G119" s="143">
        <v>137700</v>
      </c>
      <c r="H119" s="143"/>
      <c r="I119" s="143">
        <v>128029</v>
      </c>
      <c r="J119" s="367"/>
    </row>
    <row r="120" spans="1:10" hidden="1">
      <c r="A120" s="60"/>
      <c r="B120" s="50"/>
      <c r="C120" s="637"/>
      <c r="D120" s="9">
        <f>D97+D101+D118+D119</f>
        <v>30635553.030000001</v>
      </c>
      <c r="E120" s="163"/>
      <c r="F120" s="4"/>
    </row>
    <row r="121" spans="1:10" hidden="1">
      <c r="B121" s="7" t="s">
        <v>144</v>
      </c>
    </row>
    <row r="122" spans="1:10" hidden="1">
      <c r="B122" t="s">
        <v>145</v>
      </c>
      <c r="D122" s="3">
        <f>F116*F12*12</f>
        <v>4903555.3985068742</v>
      </c>
    </row>
    <row r="123" spans="1:10" hidden="1">
      <c r="B123" t="s">
        <v>146</v>
      </c>
      <c r="D123" s="3">
        <f>F117*27881+1242*0.3717</f>
        <v>1066367.1932169015</v>
      </c>
    </row>
    <row r="124" spans="1:10" hidden="1">
      <c r="B124" s="7" t="s">
        <v>147</v>
      </c>
      <c r="D124" s="3"/>
    </row>
    <row r="125" spans="1:10" hidden="1">
      <c r="B125" t="s">
        <v>145</v>
      </c>
      <c r="D125" s="3">
        <f>D108+D111+D115</f>
        <v>4661654.6451830985</v>
      </c>
    </row>
    <row r="126" spans="1:10" hidden="1">
      <c r="B126" t="s">
        <v>146</v>
      </c>
      <c r="D126" s="3">
        <f>D109+D112+D114</f>
        <v>1065905.5418169014</v>
      </c>
    </row>
    <row r="127" spans="1:10" hidden="1"/>
    <row r="128" spans="1:10" hidden="1">
      <c r="B128" s="7" t="s">
        <v>148</v>
      </c>
      <c r="I128" s="164"/>
      <c r="J128" s="164"/>
    </row>
    <row r="129" spans="1:21" hidden="1">
      <c r="B129" t="s">
        <v>149</v>
      </c>
      <c r="I129" s="5">
        <f>24700*12</f>
        <v>296400</v>
      </c>
    </row>
    <row r="130" spans="1:21" hidden="1">
      <c r="B130" t="s">
        <v>150</v>
      </c>
      <c r="I130" s="5">
        <f>I129*0.302</f>
        <v>89512.8</v>
      </c>
      <c r="K130" s="548">
        <f>SUM(I129:I130)</f>
        <v>385912.8</v>
      </c>
    </row>
    <row r="131" spans="1:21" hidden="1">
      <c r="B131" t="s">
        <v>151</v>
      </c>
    </row>
    <row r="133" spans="1:21" s="764" customFormat="1">
      <c r="C133" s="548"/>
      <c r="F133" s="765">
        <f>F96+F94+F93+F92+F91+F90+F88+F87+F86+F85+F82+F81+F79+F75+F61+F60+F59+F58+F57+F56+F51+F47+F44</f>
        <v>29.396130510820704</v>
      </c>
      <c r="G133" s="766"/>
      <c r="H133" s="765">
        <f>H96+H94+H93+H92+H91+H90+H88+H87+H86+H85+H82+H81+H79+H75+H61+H60+H59+H58+H57+H56+H51+H47+H44</f>
        <v>29.393679155551641</v>
      </c>
      <c r="I133" s="766"/>
      <c r="J133" s="765">
        <f>J96+J94+J93+J92+J91+J90+J88+J87+J86+J85+J82+J81+J79+J75+J61+J60+J59+J58+J57+J56+J51+J47+J44</f>
        <v>29.399215143716685</v>
      </c>
      <c r="K133" s="548"/>
    </row>
    <row r="134" spans="1:21">
      <c r="F134" s="4"/>
      <c r="H134" s="4"/>
      <c r="J134" s="4"/>
    </row>
    <row r="135" spans="1:21" ht="39.75" customHeight="1" thickBot="1">
      <c r="A135" s="709"/>
      <c r="B135" s="709"/>
      <c r="C135" s="672"/>
      <c r="D135" s="709"/>
      <c r="E135" s="709"/>
      <c r="F135" s="709"/>
      <c r="G135" s="709"/>
      <c r="H135" s="709"/>
      <c r="I135" s="709"/>
      <c r="J135" s="488"/>
      <c r="K135" s="673"/>
      <c r="L135" s="674"/>
      <c r="M135" s="674"/>
      <c r="N135" s="673"/>
      <c r="O135" s="343"/>
      <c r="P135" s="343"/>
      <c r="Q135" s="343"/>
      <c r="R135" s="343"/>
      <c r="S135" s="343"/>
      <c r="T135" s="343"/>
      <c r="U135" s="343"/>
    </row>
    <row r="136" spans="1:21">
      <c r="A136" s="343"/>
      <c r="B136" s="343"/>
      <c r="C136" s="690"/>
      <c r="D136" s="674"/>
      <c r="E136" s="674"/>
      <c r="I136" s="490"/>
      <c r="J136" s="490"/>
      <c r="K136" s="575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</row>
    <row r="137" spans="1:21">
      <c r="A137" s="343"/>
      <c r="B137" s="496"/>
      <c r="C137" s="635"/>
      <c r="D137" s="674"/>
      <c r="E137" s="667"/>
      <c r="I137" s="491"/>
      <c r="J137" s="491"/>
      <c r="K137" s="576"/>
      <c r="L137" s="343"/>
      <c r="M137" s="514"/>
      <c r="N137" s="514"/>
      <c r="O137" s="343"/>
      <c r="P137" s="343"/>
      <c r="Q137" s="343"/>
      <c r="R137" s="343"/>
      <c r="S137" s="343"/>
      <c r="T137" s="343"/>
      <c r="U137" s="343"/>
    </row>
    <row r="138" spans="1:21">
      <c r="A138" s="343"/>
      <c r="B138" s="343"/>
      <c r="C138" s="635"/>
      <c r="D138" s="703"/>
      <c r="E138" s="343"/>
      <c r="I138" s="491"/>
      <c r="J138" s="491"/>
      <c r="K138" s="577"/>
      <c r="L138" s="492"/>
      <c r="M138" s="492"/>
      <c r="N138" s="492"/>
      <c r="O138" s="343"/>
      <c r="P138" s="343"/>
      <c r="Q138" s="343"/>
      <c r="R138" s="343"/>
      <c r="S138" s="343"/>
      <c r="T138" s="343"/>
      <c r="U138" s="343"/>
    </row>
    <row r="139" spans="1:21">
      <c r="A139" s="343"/>
      <c r="B139" s="343"/>
      <c r="C139" s="635"/>
      <c r="D139" s="703"/>
      <c r="E139" s="343"/>
      <c r="I139" s="493"/>
      <c r="J139" s="493"/>
      <c r="K139" s="577"/>
      <c r="L139" s="492"/>
      <c r="M139" s="492"/>
      <c r="N139" s="492"/>
      <c r="O139" s="343"/>
      <c r="P139" s="343"/>
      <c r="Q139" s="343"/>
      <c r="R139" s="343"/>
      <c r="S139" s="343"/>
      <c r="T139" s="343"/>
      <c r="U139" s="343"/>
    </row>
    <row r="140" spans="1:21">
      <c r="A140" s="343"/>
      <c r="B140" s="343"/>
      <c r="C140" s="635"/>
      <c r="D140" s="703"/>
      <c r="E140" s="343"/>
      <c r="I140" s="493"/>
      <c r="J140" s="493"/>
      <c r="K140" s="577"/>
      <c r="L140" s="492"/>
      <c r="M140" s="492"/>
      <c r="N140" s="492"/>
      <c r="O140" s="343"/>
      <c r="P140" s="343"/>
      <c r="Q140" s="343"/>
      <c r="R140" s="343"/>
      <c r="S140" s="343"/>
      <c r="T140" s="343"/>
      <c r="U140" s="343"/>
    </row>
    <row r="141" spans="1:21">
      <c r="A141" s="343"/>
      <c r="B141" s="343"/>
      <c r="C141" s="635"/>
      <c r="D141" s="703"/>
      <c r="E141" s="343"/>
      <c r="I141" s="491"/>
      <c r="J141" s="491"/>
      <c r="K141" s="577"/>
      <c r="L141" s="492"/>
      <c r="M141" s="492"/>
      <c r="N141" s="492"/>
      <c r="O141" s="343"/>
      <c r="P141" s="343"/>
      <c r="Q141" s="343"/>
      <c r="R141" s="343"/>
      <c r="S141" s="343"/>
      <c r="T141" s="343"/>
      <c r="U141" s="343"/>
    </row>
    <row r="142" spans="1:21" ht="15.75" thickBot="1">
      <c r="A142" s="343"/>
      <c r="B142" s="343"/>
      <c r="C142" s="691"/>
      <c r="D142" s="703"/>
      <c r="E142" s="343"/>
      <c r="I142" s="491"/>
      <c r="J142" s="491"/>
      <c r="K142" s="577"/>
      <c r="L142" s="492"/>
      <c r="M142" s="492"/>
      <c r="N142" s="492"/>
      <c r="O142" s="343"/>
      <c r="P142" s="343"/>
      <c r="Q142" s="343"/>
      <c r="R142" s="343"/>
      <c r="S142" s="343"/>
      <c r="T142" s="343"/>
      <c r="U142" s="343"/>
    </row>
    <row r="143" spans="1:21" ht="15.75" customHeight="1" thickBot="1">
      <c r="A143" s="994"/>
      <c r="B143" s="994"/>
      <c r="C143" s="549"/>
      <c r="D143" s="703"/>
      <c r="E143" s="343"/>
      <c r="I143" s="491"/>
      <c r="J143" s="491"/>
      <c r="K143" s="577"/>
      <c r="L143" s="492"/>
      <c r="M143" s="492"/>
      <c r="N143" s="492"/>
      <c r="O143" s="343"/>
      <c r="P143" s="343"/>
      <c r="Q143" s="343"/>
      <c r="R143" s="343"/>
      <c r="S143" s="343"/>
      <c r="T143" s="343"/>
      <c r="U143" s="343"/>
    </row>
    <row r="144" spans="1:21" ht="15.75" customHeight="1">
      <c r="A144" s="994"/>
      <c r="B144" s="994"/>
      <c r="C144" s="692"/>
      <c r="D144" s="703"/>
      <c r="E144" s="343"/>
      <c r="I144" s="491"/>
      <c r="J144" s="491"/>
      <c r="K144" s="577"/>
      <c r="L144" s="492"/>
      <c r="M144" s="492"/>
      <c r="N144" s="492"/>
      <c r="O144" s="343"/>
      <c r="P144" s="343"/>
      <c r="Q144" s="343"/>
      <c r="R144" s="343"/>
      <c r="S144" s="343"/>
      <c r="T144" s="343"/>
      <c r="U144" s="343"/>
    </row>
    <row r="145" spans="1:21">
      <c r="A145" s="991"/>
      <c r="B145" s="991"/>
      <c r="C145" s="635"/>
      <c r="D145" s="704"/>
      <c r="E145" s="343"/>
      <c r="I145" s="491"/>
      <c r="J145" s="491"/>
      <c r="K145" s="577"/>
      <c r="L145" s="492"/>
      <c r="M145" s="492"/>
      <c r="N145" s="492"/>
      <c r="O145" s="343"/>
      <c r="P145" s="343"/>
      <c r="Q145" s="343"/>
      <c r="R145" s="343"/>
      <c r="S145" s="343"/>
      <c r="T145" s="343"/>
      <c r="U145" s="343"/>
    </row>
    <row r="146" spans="1:21" ht="15.75" thickBot="1">
      <c r="A146" s="991"/>
      <c r="B146" s="991"/>
      <c r="C146" s="693"/>
      <c r="D146" s="704"/>
      <c r="E146" s="343"/>
      <c r="I146" s="491"/>
      <c r="J146" s="491"/>
      <c r="K146" s="577"/>
      <c r="L146" s="492"/>
      <c r="M146" s="492"/>
      <c r="N146" s="492"/>
      <c r="O146" s="343"/>
      <c r="P146" s="343"/>
      <c r="Q146" s="343"/>
      <c r="R146" s="343"/>
      <c r="S146" s="343"/>
      <c r="T146" s="343"/>
      <c r="U146" s="343"/>
    </row>
    <row r="147" spans="1:21" ht="15.75" thickBot="1">
      <c r="A147" s="343"/>
      <c r="B147" s="343"/>
      <c r="D147" s="343"/>
      <c r="E147" s="492"/>
      <c r="I147" s="491"/>
      <c r="J147" s="491"/>
      <c r="K147" s="577"/>
      <c r="L147" s="492"/>
      <c r="M147" s="492"/>
      <c r="N147" s="492"/>
      <c r="O147" s="343"/>
      <c r="P147" s="343"/>
      <c r="Q147" s="343"/>
      <c r="R147" s="343"/>
      <c r="S147" s="343"/>
      <c r="T147" s="343"/>
      <c r="U147" s="343"/>
    </row>
    <row r="148" spans="1:21" ht="15.75">
      <c r="A148" s="343"/>
      <c r="B148" s="343"/>
      <c r="C148" s="690"/>
      <c r="D148" s="492"/>
      <c r="E148" s="492"/>
      <c r="I148" s="494"/>
      <c r="J148" s="494"/>
      <c r="K148" s="578"/>
      <c r="L148" s="341"/>
      <c r="M148" s="341"/>
      <c r="N148" s="341"/>
      <c r="O148" s="343"/>
      <c r="P148" s="343"/>
      <c r="Q148" s="343"/>
      <c r="R148" s="343"/>
      <c r="S148" s="343"/>
      <c r="T148" s="343"/>
      <c r="U148" s="343"/>
    </row>
    <row r="149" spans="1:21" ht="15.75">
      <c r="A149" s="343"/>
      <c r="B149" s="528"/>
      <c r="C149" s="575"/>
      <c r="D149" s="992"/>
      <c r="E149" s="993"/>
      <c r="I149" s="493"/>
      <c r="J149" s="493"/>
      <c r="K149" s="579"/>
      <c r="L149" s="495"/>
      <c r="M149" s="495"/>
      <c r="N149" s="495"/>
      <c r="O149" s="492"/>
      <c r="P149" s="343"/>
      <c r="Q149" s="343"/>
      <c r="R149" s="343"/>
      <c r="S149" s="343"/>
      <c r="T149" s="343"/>
      <c r="U149" s="343"/>
    </row>
    <row r="150" spans="1:21" ht="15.75">
      <c r="A150" s="343"/>
      <c r="B150" s="702"/>
      <c r="C150" s="635"/>
      <c r="D150" s="339"/>
      <c r="E150" s="492"/>
      <c r="I150" s="491"/>
      <c r="J150" s="491"/>
      <c r="K150" s="575"/>
      <c r="L150" s="343"/>
      <c r="M150" s="343"/>
      <c r="N150" s="343"/>
      <c r="O150" s="343"/>
      <c r="P150" s="343"/>
      <c r="Q150" s="343"/>
      <c r="R150" s="343"/>
      <c r="S150" s="343"/>
      <c r="T150" s="343"/>
      <c r="U150" s="343"/>
    </row>
    <row r="151" spans="1:21" ht="15.75" hidden="1">
      <c r="A151" s="28">
        <v>2</v>
      </c>
      <c r="B151" s="697" t="s">
        <v>162</v>
      </c>
      <c r="C151" s="240"/>
      <c r="D151" s="698"/>
      <c r="E151" s="699"/>
      <c r="I151" s="491"/>
      <c r="J151" s="491"/>
      <c r="K151" s="575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</row>
    <row r="152" spans="1:21" ht="15.75">
      <c r="A152" s="994"/>
      <c r="B152" s="994"/>
      <c r="C152" s="635"/>
      <c r="D152" s="707"/>
      <c r="E152" s="343"/>
      <c r="I152" s="491"/>
      <c r="J152" s="491"/>
      <c r="K152" s="575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</row>
    <row r="153" spans="1:21" ht="15.75">
      <c r="A153" s="991"/>
      <c r="B153" s="991"/>
      <c r="C153" s="635"/>
      <c r="D153" s="707"/>
      <c r="E153" s="343"/>
      <c r="I153" s="491"/>
      <c r="J153" s="491"/>
      <c r="K153" s="575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</row>
    <row r="154" spans="1:21" ht="15.75">
      <c r="A154" s="991"/>
      <c r="B154" s="991"/>
      <c r="C154" s="635"/>
      <c r="D154" s="341"/>
      <c r="E154" s="343"/>
      <c r="I154" s="491"/>
      <c r="J154" s="491"/>
      <c r="K154" s="575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</row>
    <row r="155" spans="1:21">
      <c r="A155" s="343"/>
      <c r="B155" s="496"/>
      <c r="C155" s="635"/>
      <c r="D155" s="492"/>
      <c r="E155" s="343"/>
      <c r="I155" s="491"/>
      <c r="J155" s="491"/>
      <c r="K155" s="575"/>
      <c r="L155" s="496"/>
      <c r="M155" s="496"/>
      <c r="N155" s="496"/>
      <c r="O155" s="343"/>
      <c r="P155" s="343"/>
      <c r="Q155" s="343"/>
      <c r="R155" s="343"/>
      <c r="S155" s="343"/>
      <c r="T155" s="343"/>
      <c r="U155" s="343"/>
    </row>
    <row r="156" spans="1:21">
      <c r="A156" s="705"/>
      <c r="B156" s="343"/>
      <c r="C156" s="635"/>
      <c r="D156" s="492"/>
      <c r="E156" s="492"/>
      <c r="F156" s="166"/>
      <c r="I156" s="491"/>
      <c r="J156" s="491"/>
      <c r="K156" s="577"/>
      <c r="L156" s="492"/>
      <c r="M156" s="492"/>
      <c r="N156" s="492"/>
      <c r="O156" s="492"/>
      <c r="P156" s="492"/>
      <c r="Q156" s="343"/>
      <c r="R156" s="343"/>
      <c r="S156" s="343"/>
      <c r="T156" s="343"/>
      <c r="U156" s="343"/>
    </row>
    <row r="157" spans="1:21">
      <c r="A157" s="705"/>
      <c r="B157" s="343"/>
      <c r="C157" s="635"/>
      <c r="D157" s="492"/>
      <c r="E157" s="492"/>
      <c r="I157" s="491"/>
      <c r="J157" s="491"/>
      <c r="K157" s="575"/>
      <c r="L157" s="343"/>
      <c r="M157" s="343"/>
      <c r="N157" s="343"/>
      <c r="O157" s="492"/>
      <c r="P157" s="492"/>
      <c r="Q157" s="343"/>
      <c r="R157" s="343"/>
      <c r="S157" s="343"/>
      <c r="T157" s="343"/>
      <c r="U157" s="343"/>
    </row>
    <row r="158" spans="1:21">
      <c r="A158" s="705"/>
      <c r="B158" s="343"/>
      <c r="C158" s="635"/>
      <c r="D158" s="492"/>
      <c r="E158" s="492"/>
      <c r="I158" s="491"/>
      <c r="J158" s="491"/>
      <c r="K158" s="575"/>
      <c r="L158" s="343"/>
      <c r="M158" s="343"/>
      <c r="N158" s="343"/>
      <c r="O158" s="492"/>
      <c r="P158" s="492"/>
      <c r="Q158" s="343"/>
      <c r="R158" s="343"/>
      <c r="S158" s="343"/>
      <c r="T158" s="343"/>
      <c r="U158" s="343"/>
    </row>
    <row r="159" spans="1:21">
      <c r="A159" s="705"/>
      <c r="B159" s="343"/>
      <c r="C159" s="635"/>
      <c r="D159" s="492"/>
      <c r="E159" s="492"/>
      <c r="I159" s="491"/>
      <c r="J159" s="491"/>
      <c r="K159" s="577"/>
      <c r="L159" s="492"/>
      <c r="M159" s="492"/>
      <c r="N159" s="492"/>
      <c r="O159" s="492"/>
      <c r="P159" s="492"/>
      <c r="Q159" s="343"/>
      <c r="R159" s="343"/>
      <c r="S159" s="343"/>
      <c r="T159" s="343"/>
      <c r="U159" s="343"/>
    </row>
    <row r="160" spans="1:21">
      <c r="A160" s="705"/>
      <c r="B160" s="343"/>
      <c r="C160" s="635"/>
      <c r="D160" s="492"/>
      <c r="E160" s="492"/>
      <c r="I160" s="491"/>
      <c r="J160" s="491"/>
      <c r="K160" s="577"/>
      <c r="L160" s="492"/>
      <c r="M160" s="492"/>
      <c r="N160" s="492"/>
      <c r="O160" s="492"/>
      <c r="P160" s="492"/>
      <c r="Q160" s="343"/>
      <c r="R160" s="343"/>
      <c r="S160" s="343"/>
      <c r="T160" s="343"/>
      <c r="U160" s="343"/>
    </row>
    <row r="161" spans="1:21">
      <c r="A161" s="705"/>
      <c r="B161" s="343"/>
      <c r="C161" s="635"/>
      <c r="D161" s="492"/>
      <c r="E161" s="492"/>
      <c r="I161" s="491"/>
      <c r="J161" s="491"/>
      <c r="K161" s="577"/>
      <c r="L161" s="492"/>
      <c r="M161" s="492"/>
      <c r="N161" s="492"/>
      <c r="O161" s="492"/>
      <c r="P161" s="492"/>
      <c r="Q161" s="343"/>
      <c r="R161" s="343"/>
      <c r="S161" s="343"/>
      <c r="T161" s="343"/>
      <c r="U161" s="343"/>
    </row>
    <row r="162" spans="1:21">
      <c r="A162" s="705"/>
      <c r="B162" s="343"/>
      <c r="C162" s="635"/>
      <c r="D162" s="708"/>
      <c r="E162" s="492"/>
      <c r="I162" s="491"/>
      <c r="J162" s="491"/>
      <c r="K162" s="577"/>
      <c r="L162" s="492"/>
      <c r="M162" s="492"/>
      <c r="N162" s="492"/>
      <c r="O162" s="492"/>
      <c r="P162" s="492"/>
      <c r="Q162" s="343"/>
      <c r="R162" s="343"/>
      <c r="S162" s="343"/>
      <c r="T162" s="343"/>
      <c r="U162" s="343"/>
    </row>
    <row r="163" spans="1:21">
      <c r="A163" s="705"/>
      <c r="B163" s="343"/>
      <c r="C163" s="635"/>
      <c r="D163" s="708"/>
      <c r="E163" s="492"/>
      <c r="I163" s="491"/>
      <c r="J163" s="491"/>
      <c r="K163" s="577"/>
      <c r="L163" s="492"/>
      <c r="M163" s="492"/>
      <c r="N163" s="492"/>
      <c r="O163" s="492"/>
      <c r="P163" s="492"/>
      <c r="Q163" s="343"/>
      <c r="R163" s="343"/>
      <c r="S163" s="343"/>
      <c r="T163" s="343"/>
      <c r="U163" s="343"/>
    </row>
    <row r="164" spans="1:21">
      <c r="A164" s="705"/>
      <c r="B164" s="674"/>
      <c r="C164" s="635"/>
      <c r="D164" s="708"/>
      <c r="E164" s="708"/>
      <c r="I164" s="491"/>
      <c r="J164" s="491"/>
      <c r="K164" s="577"/>
      <c r="L164" s="492"/>
      <c r="M164" s="492"/>
      <c r="N164" s="492"/>
      <c r="O164" s="492"/>
      <c r="P164" s="492"/>
      <c r="Q164" s="343"/>
      <c r="R164" s="343"/>
      <c r="S164" s="343"/>
      <c r="T164" s="343"/>
      <c r="U164" s="343"/>
    </row>
    <row r="165" spans="1:21" ht="15.75">
      <c r="A165" s="705"/>
      <c r="B165" s="343"/>
      <c r="C165" s="635"/>
      <c r="D165" s="708"/>
      <c r="E165" s="708"/>
      <c r="I165" s="494"/>
      <c r="J165" s="494"/>
      <c r="K165" s="578"/>
      <c r="L165" s="341"/>
      <c r="M165" s="341"/>
      <c r="N165" s="341"/>
      <c r="O165" s="343"/>
      <c r="P165" s="343"/>
      <c r="Q165" s="343"/>
      <c r="R165" s="343"/>
      <c r="S165" s="343"/>
      <c r="T165" s="343"/>
      <c r="U165" s="343"/>
    </row>
    <row r="166" spans="1:21">
      <c r="A166" s="705"/>
      <c r="B166" s="674"/>
      <c r="C166" s="635"/>
      <c r="D166" s="708"/>
      <c r="E166" s="708"/>
      <c r="I166" s="493"/>
      <c r="J166" s="493"/>
      <c r="K166" s="579"/>
      <c r="L166" s="495"/>
      <c r="M166" s="495"/>
      <c r="N166" s="495"/>
      <c r="O166" s="978"/>
      <c r="P166" s="979"/>
      <c r="Q166" s="343"/>
      <c r="R166" s="343"/>
      <c r="S166" s="343"/>
      <c r="T166" s="343"/>
      <c r="U166" s="343"/>
    </row>
    <row r="167" spans="1:21" s="173" customFormat="1" ht="16.5" thickBot="1">
      <c r="A167" s="498"/>
      <c r="B167" s="498"/>
      <c r="C167" s="694"/>
      <c r="D167" s="497"/>
      <c r="E167" s="497"/>
      <c r="I167" s="491"/>
      <c r="J167" s="491"/>
      <c r="K167" s="575"/>
      <c r="L167" s="343"/>
      <c r="M167" s="343"/>
      <c r="N167" s="343"/>
      <c r="O167" s="497"/>
      <c r="P167" s="498"/>
      <c r="Q167" s="498"/>
      <c r="R167" s="498"/>
      <c r="S167" s="498"/>
      <c r="T167" s="498"/>
      <c r="U167" s="498"/>
    </row>
    <row r="168" spans="1:21" ht="15.75" thickBot="1">
      <c r="A168" s="343"/>
      <c r="B168" s="343"/>
      <c r="D168" s="343"/>
      <c r="E168" s="343"/>
      <c r="J168" s="491"/>
      <c r="K168" s="575"/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</row>
    <row r="169" spans="1:21" ht="15.75">
      <c r="A169" s="343"/>
      <c r="B169" s="528"/>
      <c r="C169" s="695" t="s">
        <v>179</v>
      </c>
      <c r="D169" s="992"/>
      <c r="E169" s="993"/>
      <c r="J169" s="491"/>
      <c r="K169" s="575"/>
      <c r="L169" s="343"/>
      <c r="M169" s="343"/>
      <c r="N169" s="343"/>
      <c r="O169" s="492"/>
      <c r="P169" s="343"/>
      <c r="Q169" s="343"/>
      <c r="R169" s="343"/>
      <c r="S169" s="343"/>
      <c r="T169" s="343"/>
      <c r="U169" s="343"/>
    </row>
    <row r="170" spans="1:21" ht="36" customHeight="1">
      <c r="A170" s="343"/>
      <c r="B170" s="706"/>
      <c r="C170" s="635"/>
      <c r="D170" s="497"/>
      <c r="E170" s="492"/>
      <c r="J170" s="491"/>
      <c r="K170" s="575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</row>
    <row r="171" spans="1:21" ht="16.5" hidden="1" customHeight="1">
      <c r="A171" s="28"/>
      <c r="B171" s="700" t="s">
        <v>182</v>
      </c>
      <c r="C171" s="240"/>
      <c r="D171" s="701"/>
      <c r="E171" s="699"/>
      <c r="J171" s="491"/>
      <c r="K171" s="575"/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</row>
    <row r="172" spans="1:21">
      <c r="A172" s="343"/>
      <c r="B172" s="496"/>
      <c r="C172" s="635"/>
      <c r="D172" s="703"/>
      <c r="E172" s="343"/>
      <c r="J172" s="491"/>
      <c r="K172" s="575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</row>
    <row r="173" spans="1:21">
      <c r="A173" s="343"/>
      <c r="B173" s="343"/>
      <c r="C173" s="696">
        <v>1131730.8631018416</v>
      </c>
      <c r="D173" s="492"/>
      <c r="E173" s="492"/>
      <c r="J173" s="491"/>
      <c r="K173" s="575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</row>
    <row r="174" spans="1:21">
      <c r="A174" s="343"/>
      <c r="B174" s="575"/>
      <c r="C174" s="696">
        <v>90925.338325991193</v>
      </c>
      <c r="D174" s="492"/>
      <c r="E174" s="492"/>
      <c r="J174" s="491"/>
      <c r="K174" s="575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</row>
    <row r="175" spans="1:21">
      <c r="A175" s="343"/>
      <c r="B175" s="343"/>
      <c r="C175" s="696">
        <v>1222656.2014278329</v>
      </c>
      <c r="D175" s="492"/>
      <c r="E175" s="492"/>
    </row>
    <row r="176" spans="1:21">
      <c r="A176" s="343"/>
      <c r="B176" s="343"/>
      <c r="C176" s="635">
        <v>75014</v>
      </c>
      <c r="D176" s="492"/>
      <c r="E176" s="492"/>
    </row>
    <row r="177" spans="1:14">
      <c r="A177" s="343"/>
      <c r="B177" s="343"/>
      <c r="C177" s="635">
        <v>75014</v>
      </c>
      <c r="D177" s="492"/>
      <c r="E177" s="492"/>
    </row>
    <row r="178" spans="1:14">
      <c r="A178" s="343"/>
      <c r="B178" s="343"/>
      <c r="C178" s="635"/>
      <c r="D178" s="492"/>
      <c r="E178" s="492"/>
    </row>
    <row r="179" spans="1:14">
      <c r="A179" s="343"/>
      <c r="B179" s="343"/>
      <c r="C179" s="635"/>
      <c r="D179" s="492"/>
      <c r="E179" s="492"/>
    </row>
    <row r="180" spans="1:14" ht="15.75">
      <c r="A180" s="343"/>
      <c r="B180" s="343"/>
      <c r="C180" s="635"/>
      <c r="D180" s="492"/>
      <c r="E180" s="492"/>
      <c r="I180" s="173"/>
      <c r="J180" s="173"/>
      <c r="K180" s="580"/>
      <c r="L180" s="173"/>
      <c r="M180" s="173"/>
      <c r="N180" s="173"/>
    </row>
    <row r="181" spans="1:14">
      <c r="A181" s="343"/>
      <c r="B181" s="343"/>
      <c r="C181" s="635"/>
      <c r="D181" s="492"/>
      <c r="E181" s="492"/>
    </row>
    <row r="182" spans="1:14">
      <c r="A182" s="343"/>
      <c r="B182" s="343"/>
      <c r="C182" s="635"/>
      <c r="D182" s="492"/>
      <c r="E182" s="492"/>
    </row>
    <row r="183" spans="1:14" ht="18.75">
      <c r="A183" s="343"/>
      <c r="B183" s="343"/>
      <c r="C183" s="635"/>
      <c r="D183" s="492"/>
      <c r="E183" s="492"/>
      <c r="I183" s="176"/>
      <c r="J183" s="176"/>
      <c r="K183" s="581"/>
      <c r="L183" s="176"/>
      <c r="M183" s="176"/>
      <c r="N183" s="176"/>
    </row>
    <row r="184" spans="1:14" s="173" customFormat="1" ht="16.5" thickBot="1">
      <c r="A184" s="498"/>
      <c r="B184" s="498"/>
      <c r="C184" s="694"/>
      <c r="D184" s="497"/>
      <c r="E184" s="497"/>
      <c r="I184" s="5"/>
      <c r="J184" s="5"/>
      <c r="K184" s="548"/>
      <c r="L184"/>
      <c r="M184"/>
      <c r="N184"/>
    </row>
    <row r="185" spans="1:14">
      <c r="A185" s="343"/>
      <c r="B185" s="343"/>
      <c r="D185" s="343"/>
      <c r="E185" s="343"/>
      <c r="I185" s="184"/>
      <c r="J185" s="184"/>
      <c r="K185" s="582"/>
      <c r="L185" s="50"/>
      <c r="M185" s="50"/>
      <c r="N185" s="50"/>
    </row>
    <row r="186" spans="1:14">
      <c r="I186" s="184"/>
      <c r="J186" s="184"/>
      <c r="K186" s="582"/>
      <c r="L186" s="50"/>
      <c r="M186" s="50"/>
      <c r="N186" s="50"/>
    </row>
    <row r="187" spans="1:14" s="176" customFormat="1" ht="63.75" hidden="1">
      <c r="B187" s="176" t="s">
        <v>192</v>
      </c>
      <c r="C187" s="581" t="s">
        <v>193</v>
      </c>
      <c r="D187" s="177" t="s">
        <v>194</v>
      </c>
      <c r="E187" s="177" t="s">
        <v>195</v>
      </c>
      <c r="F187" s="177" t="s">
        <v>196</v>
      </c>
      <c r="I187" s="184"/>
      <c r="J187" s="184"/>
      <c r="K187" s="582"/>
      <c r="L187" s="50"/>
      <c r="M187" s="50"/>
      <c r="N187" s="50"/>
    </row>
    <row r="188" spans="1:14" ht="15.75" hidden="1" thickBot="1">
      <c r="B188" s="178" t="s">
        <v>197</v>
      </c>
      <c r="C188" s="646"/>
      <c r="D188" s="179">
        <v>38</v>
      </c>
      <c r="E188" s="180">
        <v>51</v>
      </c>
      <c r="F188" s="179">
        <v>73</v>
      </c>
      <c r="I188" s="184"/>
      <c r="J188" s="184"/>
      <c r="K188" s="582"/>
      <c r="L188" s="50"/>
      <c r="M188" s="50"/>
      <c r="N188" s="50"/>
    </row>
    <row r="189" spans="1:14" s="50" customFormat="1" ht="31.5" hidden="1" customHeight="1">
      <c r="B189" s="181" t="s">
        <v>198</v>
      </c>
      <c r="C189" s="647">
        <f>F24</f>
        <v>46.509618429930839</v>
      </c>
      <c r="D189" s="183">
        <f>$C189*D188</f>
        <v>1767.3655003373719</v>
      </c>
      <c r="E189" s="183">
        <f>$C189*E188</f>
        <v>2371.9905399264726</v>
      </c>
      <c r="F189" s="183">
        <f>$C189*F188</f>
        <v>3395.2021453849511</v>
      </c>
      <c r="I189" s="184"/>
      <c r="J189" s="184"/>
      <c r="K189" s="582"/>
    </row>
    <row r="190" spans="1:14" s="50" customFormat="1" hidden="1">
      <c r="B190" s="181" t="s">
        <v>199</v>
      </c>
      <c r="C190" s="582">
        <v>13.5</v>
      </c>
      <c r="D190" s="183">
        <f>$C190*D188</f>
        <v>513</v>
      </c>
      <c r="E190" s="183">
        <f>$C190*E188</f>
        <v>688.5</v>
      </c>
      <c r="F190" s="183">
        <f>$C190*F188</f>
        <v>985.5</v>
      </c>
      <c r="I190" s="184"/>
      <c r="J190" s="184"/>
      <c r="K190" s="582"/>
    </row>
    <row r="191" spans="1:14" s="50" customFormat="1" hidden="1">
      <c r="B191" s="181" t="s">
        <v>200</v>
      </c>
      <c r="C191" s="582">
        <v>78</v>
      </c>
      <c r="D191" s="183">
        <f>$D192*C191</f>
        <v>156</v>
      </c>
      <c r="E191" s="183">
        <f t="shared" ref="E191:F191" si="25">$D192*D191</f>
        <v>312</v>
      </c>
      <c r="F191" s="183">
        <f t="shared" si="25"/>
        <v>624</v>
      </c>
      <c r="I191" s="184"/>
      <c r="J191" s="184"/>
      <c r="K191" s="582"/>
    </row>
    <row r="192" spans="1:14" s="50" customFormat="1" hidden="1">
      <c r="B192" s="50" t="s">
        <v>201</v>
      </c>
      <c r="C192" s="582"/>
      <c r="D192" s="183">
        <v>2</v>
      </c>
      <c r="E192" s="183">
        <v>4</v>
      </c>
      <c r="F192" s="183">
        <v>6</v>
      </c>
      <c r="I192" s="184"/>
      <c r="J192" s="184"/>
      <c r="K192" s="582"/>
    </row>
    <row r="193" spans="2:14" s="50" customFormat="1" hidden="1">
      <c r="B193" s="181" t="s">
        <v>202</v>
      </c>
      <c r="C193" s="582">
        <v>38.06</v>
      </c>
      <c r="D193" s="183">
        <f>$C193*D194</f>
        <v>152.24</v>
      </c>
      <c r="E193" s="183">
        <f t="shared" ref="E193:F193" si="26">$C193*E194</f>
        <v>304.48</v>
      </c>
      <c r="F193" s="183">
        <f t="shared" si="26"/>
        <v>456.72</v>
      </c>
      <c r="I193" s="184"/>
      <c r="J193" s="184"/>
      <c r="K193" s="582"/>
    </row>
    <row r="194" spans="2:14" s="50" customFormat="1" hidden="1">
      <c r="B194" s="50" t="s">
        <v>203</v>
      </c>
      <c r="C194" s="582"/>
      <c r="D194" s="183">
        <v>4</v>
      </c>
      <c r="E194" s="183">
        <v>8</v>
      </c>
      <c r="F194" s="183">
        <v>12</v>
      </c>
      <c r="I194" s="184"/>
      <c r="J194" s="184"/>
      <c r="K194" s="582"/>
    </row>
    <row r="195" spans="2:14" s="50" customFormat="1" hidden="1">
      <c r="B195" s="181" t="s">
        <v>170</v>
      </c>
      <c r="C195" s="582">
        <v>27.01</v>
      </c>
      <c r="D195" s="183">
        <f>$C195*D196</f>
        <v>162.06</v>
      </c>
      <c r="E195" s="183">
        <f t="shared" ref="E195:F195" si="27">$C195*E196</f>
        <v>324.12</v>
      </c>
      <c r="F195" s="183">
        <f t="shared" si="27"/>
        <v>486.18</v>
      </c>
      <c r="I195" s="184"/>
      <c r="J195" s="184"/>
      <c r="K195" s="582"/>
    </row>
    <row r="196" spans="2:14" s="50" customFormat="1" hidden="1">
      <c r="B196" s="185" t="s">
        <v>204</v>
      </c>
      <c r="C196" s="582"/>
      <c r="D196" s="183">
        <f>D194+D192</f>
        <v>6</v>
      </c>
      <c r="E196" s="183">
        <f t="shared" ref="E196:F196" si="28">E194+E192</f>
        <v>12</v>
      </c>
      <c r="F196" s="183">
        <f t="shared" si="28"/>
        <v>18</v>
      </c>
      <c r="I196" s="184"/>
      <c r="J196" s="184"/>
      <c r="K196" s="582"/>
    </row>
    <row r="197" spans="2:14" s="50" customFormat="1" hidden="1">
      <c r="B197" s="181" t="s">
        <v>62</v>
      </c>
      <c r="C197" s="582">
        <v>25</v>
      </c>
      <c r="D197" s="183">
        <f>C197</f>
        <v>25</v>
      </c>
      <c r="E197" s="183">
        <f t="shared" ref="E197:F199" si="29">D197</f>
        <v>25</v>
      </c>
      <c r="F197" s="183">
        <f t="shared" si="29"/>
        <v>25</v>
      </c>
      <c r="I197" s="5"/>
      <c r="J197" s="5"/>
      <c r="K197" s="548"/>
      <c r="L197"/>
      <c r="M197"/>
      <c r="N197"/>
    </row>
    <row r="198" spans="2:14" s="50" customFormat="1" ht="18.75" hidden="1">
      <c r="B198" s="181" t="s">
        <v>205</v>
      </c>
      <c r="C198" s="582">
        <v>149</v>
      </c>
      <c r="D198" s="183">
        <f>C198</f>
        <v>149</v>
      </c>
      <c r="E198" s="183">
        <f t="shared" si="29"/>
        <v>149</v>
      </c>
      <c r="F198" s="183">
        <f t="shared" si="29"/>
        <v>149</v>
      </c>
      <c r="I198" s="176"/>
      <c r="J198" s="176"/>
      <c r="K198" s="581"/>
      <c r="L198" s="176"/>
      <c r="M198" s="176"/>
      <c r="N198" s="176"/>
    </row>
    <row r="199" spans="2:14" s="50" customFormat="1" hidden="1">
      <c r="B199" s="181" t="s">
        <v>206</v>
      </c>
      <c r="C199" s="582">
        <v>105.02</v>
      </c>
      <c r="D199" s="183">
        <f>C199</f>
        <v>105.02</v>
      </c>
      <c r="E199" s="183">
        <f t="shared" si="29"/>
        <v>105.02</v>
      </c>
      <c r="F199" s="183">
        <f t="shared" si="29"/>
        <v>105.02</v>
      </c>
      <c r="I199" s="5"/>
      <c r="J199" s="5"/>
      <c r="K199" s="548"/>
      <c r="L199"/>
      <c r="M199"/>
      <c r="N199"/>
    </row>
    <row r="200" spans="2:14" s="50" customFormat="1" ht="15.75" hidden="1">
      <c r="B200" s="186" t="s">
        <v>21</v>
      </c>
      <c r="C200" s="648"/>
      <c r="D200" s="187">
        <f>D199+D198+D197+D195+D193+D191+D190+D189</f>
        <v>3029.6855003373721</v>
      </c>
      <c r="E200" s="187">
        <f t="shared" ref="E200" si="30">E199+E198+E197+E195+E193+E191+E190+E189</f>
        <v>4280.1105399264725</v>
      </c>
      <c r="F200" s="187">
        <f>F199+F198+F197+F195+F193+F191+F190+F189</f>
        <v>6226.6221453849512</v>
      </c>
      <c r="I200" s="184"/>
      <c r="J200" s="184"/>
      <c r="K200" s="582"/>
    </row>
    <row r="201" spans="2:14" hidden="1">
      <c r="I201" s="184"/>
      <c r="J201" s="184"/>
      <c r="K201" s="582"/>
      <c r="L201" s="50"/>
      <c r="M201" s="50"/>
      <c r="N201" s="50"/>
    </row>
    <row r="202" spans="2:14" s="176" customFormat="1" ht="63.75" hidden="1">
      <c r="B202" s="176" t="s">
        <v>207</v>
      </c>
      <c r="C202" s="581" t="s">
        <v>193</v>
      </c>
      <c r="D202" s="177" t="s">
        <v>194</v>
      </c>
      <c r="E202" s="177" t="s">
        <v>195</v>
      </c>
      <c r="F202" s="177" t="s">
        <v>196</v>
      </c>
      <c r="I202" s="184"/>
      <c r="J202" s="184"/>
      <c r="K202" s="582"/>
      <c r="L202" s="50"/>
      <c r="M202" s="50"/>
      <c r="N202" s="50"/>
    </row>
    <row r="203" spans="2:14" ht="15.75" hidden="1" thickBot="1">
      <c r="B203" s="178" t="s">
        <v>197</v>
      </c>
      <c r="C203" s="646"/>
      <c r="D203" s="179">
        <v>38</v>
      </c>
      <c r="E203" s="180">
        <v>51</v>
      </c>
      <c r="F203" s="179">
        <v>73</v>
      </c>
      <c r="I203" s="184"/>
      <c r="J203" s="184"/>
      <c r="K203" s="582"/>
      <c r="L203" s="50"/>
      <c r="M203" s="50"/>
      <c r="N203" s="50"/>
    </row>
    <row r="204" spans="2:14" s="50" customFormat="1" ht="19.5" hidden="1" customHeight="1">
      <c r="B204" s="181" t="s">
        <v>208</v>
      </c>
      <c r="C204" s="647"/>
      <c r="D204" s="183"/>
      <c r="E204" s="183"/>
      <c r="F204" s="183"/>
      <c r="I204" s="184"/>
      <c r="J204" s="184"/>
      <c r="K204" s="582"/>
    </row>
    <row r="205" spans="2:14" s="50" customFormat="1" ht="18" hidden="1" customHeight="1">
      <c r="B205" s="181" t="s">
        <v>209</v>
      </c>
      <c r="C205" s="647" t="e">
        <f>F24-F26-#REF!</f>
        <v>#REF!</v>
      </c>
      <c r="D205" s="183" t="e">
        <f>$C205*D203</f>
        <v>#REF!</v>
      </c>
      <c r="E205" s="183" t="e">
        <f t="shared" ref="E205:F205" si="31">$C205*E203</f>
        <v>#REF!</v>
      </c>
      <c r="F205" s="183" t="e">
        <f t="shared" si="31"/>
        <v>#REF!</v>
      </c>
      <c r="I205" s="184"/>
      <c r="J205" s="184"/>
      <c r="K205" s="582"/>
    </row>
    <row r="206" spans="2:14" s="50" customFormat="1" ht="31.5" hidden="1" customHeight="1">
      <c r="B206" s="181" t="s">
        <v>210</v>
      </c>
      <c r="C206" s="647">
        <f>F26</f>
        <v>9.7437214102144303</v>
      </c>
      <c r="D206" s="183">
        <f>$C206*D203</f>
        <v>370.26141358814834</v>
      </c>
      <c r="E206" s="183">
        <f t="shared" ref="E206:F206" si="32">$C206*E203</f>
        <v>496.92979192093594</v>
      </c>
      <c r="F206" s="183">
        <f t="shared" si="32"/>
        <v>711.29166294565346</v>
      </c>
      <c r="I206" s="184"/>
      <c r="J206" s="184"/>
      <c r="K206" s="582"/>
    </row>
    <row r="207" spans="2:14" s="50" customFormat="1" hidden="1">
      <c r="B207" s="181" t="s">
        <v>199</v>
      </c>
      <c r="C207" s="582">
        <v>13.5</v>
      </c>
      <c r="D207" s="183">
        <f>$C207*D203</f>
        <v>513</v>
      </c>
      <c r="E207" s="183">
        <f>$C207*E203</f>
        <v>688.5</v>
      </c>
      <c r="F207" s="183">
        <f>$C207*F203</f>
        <v>985.5</v>
      </c>
      <c r="I207" s="184"/>
      <c r="J207" s="184"/>
      <c r="K207" s="582"/>
    </row>
    <row r="208" spans="2:14" s="50" customFormat="1" hidden="1">
      <c r="B208" s="181" t="s">
        <v>200</v>
      </c>
      <c r="C208" s="582">
        <v>78</v>
      </c>
      <c r="D208" s="183">
        <f>$D209*C208</f>
        <v>156</v>
      </c>
      <c r="E208" s="183">
        <f t="shared" ref="E208:F208" si="33">$D209*D208</f>
        <v>312</v>
      </c>
      <c r="F208" s="183">
        <f t="shared" si="33"/>
        <v>624</v>
      </c>
      <c r="I208" s="184"/>
      <c r="J208" s="184"/>
      <c r="K208" s="582"/>
    </row>
    <row r="209" spans="2:14" s="50" customFormat="1" hidden="1">
      <c r="B209" s="50" t="s">
        <v>201</v>
      </c>
      <c r="C209" s="582"/>
      <c r="D209" s="183">
        <v>2</v>
      </c>
      <c r="E209" s="183">
        <v>4</v>
      </c>
      <c r="F209" s="183">
        <v>6</v>
      </c>
      <c r="I209" s="184"/>
      <c r="J209" s="184"/>
      <c r="K209" s="582"/>
    </row>
    <row r="210" spans="2:14" s="50" customFormat="1" hidden="1">
      <c r="B210" s="181" t="s">
        <v>202</v>
      </c>
      <c r="C210" s="582">
        <v>38.06</v>
      </c>
      <c r="D210" s="183">
        <f>$C210*D211</f>
        <v>152.24</v>
      </c>
      <c r="E210" s="183">
        <f t="shared" ref="E210:F210" si="34">$C210*E211</f>
        <v>304.48</v>
      </c>
      <c r="F210" s="183">
        <f t="shared" si="34"/>
        <v>456.72</v>
      </c>
      <c r="I210" s="184"/>
      <c r="J210" s="184"/>
      <c r="K210" s="582"/>
    </row>
    <row r="211" spans="2:14" s="50" customFormat="1" hidden="1">
      <c r="B211" s="50" t="s">
        <v>203</v>
      </c>
      <c r="C211" s="582"/>
      <c r="D211" s="183">
        <v>4</v>
      </c>
      <c r="E211" s="183">
        <v>8</v>
      </c>
      <c r="F211" s="183">
        <v>12</v>
      </c>
      <c r="I211" s="184"/>
      <c r="J211" s="184"/>
      <c r="K211" s="582"/>
    </row>
    <row r="212" spans="2:14" s="50" customFormat="1" hidden="1">
      <c r="B212" s="181" t="s">
        <v>170</v>
      </c>
      <c r="C212" s="582">
        <v>27.01</v>
      </c>
      <c r="D212" s="183">
        <f>$C212*D213</f>
        <v>162.06</v>
      </c>
      <c r="E212" s="183">
        <f t="shared" ref="E212:F212" si="35">$C212*E213</f>
        <v>324.12</v>
      </c>
      <c r="F212" s="183">
        <f t="shared" si="35"/>
        <v>486.18</v>
      </c>
      <c r="I212" s="184"/>
      <c r="J212" s="184"/>
      <c r="K212" s="582"/>
    </row>
    <row r="213" spans="2:14" s="50" customFormat="1" hidden="1">
      <c r="B213" s="185" t="s">
        <v>204</v>
      </c>
      <c r="C213" s="582"/>
      <c r="D213" s="183">
        <f>D211+D209</f>
        <v>6</v>
      </c>
      <c r="E213" s="183">
        <f t="shared" ref="E213:F213" si="36">E211+E209</f>
        <v>12</v>
      </c>
      <c r="F213" s="183">
        <f t="shared" si="36"/>
        <v>18</v>
      </c>
      <c r="I213" s="184"/>
      <c r="J213" s="184"/>
      <c r="K213" s="582"/>
    </row>
    <row r="214" spans="2:14" s="50" customFormat="1" hidden="1">
      <c r="B214" s="181" t="s">
        <v>62</v>
      </c>
      <c r="C214" s="582">
        <v>25</v>
      </c>
      <c r="D214" s="183">
        <f>C214</f>
        <v>25</v>
      </c>
      <c r="E214" s="183">
        <f t="shared" ref="E214:F216" si="37">D214</f>
        <v>25</v>
      </c>
      <c r="F214" s="183">
        <f t="shared" si="37"/>
        <v>25</v>
      </c>
      <c r="I214" s="184"/>
      <c r="J214" s="184"/>
      <c r="K214" s="582"/>
    </row>
    <row r="215" spans="2:14" s="50" customFormat="1" hidden="1">
      <c r="B215" s="181" t="s">
        <v>205</v>
      </c>
      <c r="C215" s="582">
        <v>149</v>
      </c>
      <c r="D215" s="183">
        <f>C215</f>
        <v>149</v>
      </c>
      <c r="E215" s="183">
        <f t="shared" si="37"/>
        <v>149</v>
      </c>
      <c r="F215" s="183">
        <f t="shared" si="37"/>
        <v>149</v>
      </c>
      <c r="I215" s="5"/>
      <c r="J215" s="5"/>
      <c r="K215" s="548"/>
      <c r="L215"/>
      <c r="M215"/>
      <c r="N215"/>
    </row>
    <row r="216" spans="2:14" s="50" customFormat="1" hidden="1">
      <c r="B216" s="181" t="s">
        <v>206</v>
      </c>
      <c r="C216" s="582">
        <v>105.02</v>
      </c>
      <c r="D216" s="183">
        <f>C216</f>
        <v>105.02</v>
      </c>
      <c r="E216" s="183">
        <f t="shared" si="37"/>
        <v>105.02</v>
      </c>
      <c r="F216" s="183">
        <f t="shared" si="37"/>
        <v>105.02</v>
      </c>
      <c r="I216" s="5"/>
      <c r="J216" s="5"/>
      <c r="K216" s="548"/>
      <c r="L216"/>
      <c r="M216"/>
      <c r="N216"/>
    </row>
    <row r="217" spans="2:14" s="50" customFormat="1" hidden="1">
      <c r="B217" s="181" t="s">
        <v>211</v>
      </c>
      <c r="C217" s="649" t="e">
        <f>#REF!</f>
        <v>#REF!</v>
      </c>
      <c r="D217" s="183" t="e">
        <f>$C217*D203</f>
        <v>#REF!</v>
      </c>
      <c r="E217" s="183" t="e">
        <f t="shared" ref="E217:F217" si="38">$C217*E203</f>
        <v>#REF!</v>
      </c>
      <c r="F217" s="183" t="e">
        <f t="shared" si="38"/>
        <v>#REF!</v>
      </c>
      <c r="I217" s="5"/>
      <c r="J217" s="5"/>
      <c r="K217" s="548"/>
      <c r="L217"/>
      <c r="M217"/>
      <c r="N217"/>
    </row>
    <row r="218" spans="2:14" s="50" customFormat="1" ht="15.75" hidden="1">
      <c r="B218" s="186" t="s">
        <v>21</v>
      </c>
      <c r="C218" s="648"/>
      <c r="D218" s="187" t="e">
        <f>D217+D216+D215+D214+D212+D210+D208+D207+D206+D205</f>
        <v>#REF!</v>
      </c>
      <c r="E218" s="187" t="e">
        <f t="shared" ref="E218:F218" si="39">E217+E216+E215+E214+E212+E210+E208+E207+E206+E205</f>
        <v>#REF!</v>
      </c>
      <c r="F218" s="187" t="e">
        <f t="shared" si="39"/>
        <v>#REF!</v>
      </c>
      <c r="I218" s="5"/>
      <c r="J218" s="5"/>
      <c r="K218" s="548"/>
      <c r="L218"/>
      <c r="M218"/>
      <c r="N218"/>
    </row>
  </sheetData>
  <autoFilter ref="A25:M99">
    <filterColumn colId="11">
      <filters>
        <filter val="Сод.КК"/>
      </filters>
    </filterColumn>
  </autoFilter>
  <mergeCells count="19">
    <mergeCell ref="F22:F23"/>
    <mergeCell ref="G22:H22"/>
    <mergeCell ref="I22:J22"/>
    <mergeCell ref="A143:B143"/>
    <mergeCell ref="D10:E10"/>
    <mergeCell ref="D12:E12"/>
    <mergeCell ref="D13:E13"/>
    <mergeCell ref="B22:B23"/>
    <mergeCell ref="D22:D23"/>
    <mergeCell ref="E22:E23"/>
    <mergeCell ref="A154:B154"/>
    <mergeCell ref="O166:P166"/>
    <mergeCell ref="D169:E169"/>
    <mergeCell ref="A144:B144"/>
    <mergeCell ref="A145:B145"/>
    <mergeCell ref="A146:B146"/>
    <mergeCell ref="D149:E149"/>
    <mergeCell ref="A152:B152"/>
    <mergeCell ref="A153:B153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U219"/>
  <sheetViews>
    <sheetView topLeftCell="A68" workbookViewId="0">
      <selection activeCell="J6" sqref="J6"/>
    </sheetView>
  </sheetViews>
  <sheetFormatPr defaultRowHeight="15"/>
  <cols>
    <col min="1" max="1" width="6.28515625" customWidth="1"/>
    <col min="2" max="2" width="66.140625" customWidth="1"/>
    <col min="3" max="3" width="12.85546875" style="548" hidden="1" customWidth="1"/>
    <col min="4" max="4" width="12.5703125" customWidth="1"/>
    <col min="5" max="5" width="12.7109375" customWidth="1"/>
    <col min="6" max="6" width="9.42578125" customWidth="1"/>
    <col min="7" max="7" width="14.7109375" style="5" customWidth="1"/>
    <col min="8" max="8" width="11.140625" style="5" customWidth="1"/>
    <col min="9" max="9" width="14.5703125" style="5" customWidth="1"/>
    <col min="10" max="10" width="11.140625" style="5" customWidth="1"/>
    <col min="11" max="11" width="6.5703125" style="548" hidden="1" customWidth="1"/>
    <col min="12" max="12" width="8.7109375" customWidth="1"/>
    <col min="13" max="13" width="10.28515625" customWidth="1"/>
  </cols>
  <sheetData>
    <row r="1" spans="1:10" hidden="1">
      <c r="B1" s="1" t="s">
        <v>0</v>
      </c>
      <c r="C1" s="592"/>
      <c r="D1" s="3"/>
      <c r="F1" s="4"/>
    </row>
    <row r="2" spans="1:10" hidden="1">
      <c r="B2" s="1" t="s">
        <v>1</v>
      </c>
      <c r="C2" s="592"/>
      <c r="D2" s="3"/>
      <c r="F2" s="4"/>
    </row>
    <row r="3" spans="1:10" hidden="1">
      <c r="B3" s="1" t="s">
        <v>2</v>
      </c>
      <c r="C3" s="592"/>
      <c r="D3" s="3"/>
      <c r="F3" s="4"/>
    </row>
    <row r="4" spans="1:10" hidden="1">
      <c r="C4" s="593"/>
      <c r="F4" s="4"/>
    </row>
    <row r="5" spans="1:10" hidden="1">
      <c r="C5" s="593"/>
      <c r="F5" s="4"/>
    </row>
    <row r="6" spans="1:10">
      <c r="C6" s="593"/>
      <c r="F6" s="4"/>
      <c r="J6" s="5" t="s">
        <v>441</v>
      </c>
    </row>
    <row r="7" spans="1:10" ht="32.25" customHeight="1">
      <c r="A7" s="800" t="s">
        <v>414</v>
      </c>
      <c r="B7" s="7"/>
      <c r="C7" s="594"/>
      <c r="D7" s="9"/>
      <c r="E7" s="10"/>
      <c r="F7" s="11"/>
    </row>
    <row r="8" spans="1:10" ht="15.75" thickBot="1">
      <c r="A8" s="7"/>
      <c r="B8" s="7"/>
      <c r="C8" s="594"/>
      <c r="D8" s="9"/>
      <c r="E8" s="10"/>
      <c r="F8" s="11"/>
    </row>
    <row r="9" spans="1:10">
      <c r="A9" s="7"/>
      <c r="B9" s="7"/>
      <c r="C9" s="594"/>
      <c r="D9" s="515" t="s">
        <v>4</v>
      </c>
      <c r="E9" s="13"/>
      <c r="F9" s="14"/>
      <c r="G9" s="377" t="s">
        <v>326</v>
      </c>
      <c r="H9" s="378" t="s">
        <v>327</v>
      </c>
    </row>
    <row r="10" spans="1:10">
      <c r="A10" s="7"/>
      <c r="B10" s="7"/>
      <c r="C10" s="594"/>
      <c r="D10" s="956" t="s">
        <v>5</v>
      </c>
      <c r="E10" s="957"/>
      <c r="F10" s="15">
        <f>G10+H10</f>
        <v>31935.8</v>
      </c>
      <c r="G10" s="379">
        <v>17726.5</v>
      </c>
      <c r="H10" s="380">
        <v>14209.3</v>
      </c>
    </row>
    <row r="11" spans="1:10">
      <c r="A11" s="7"/>
      <c r="B11" s="7"/>
      <c r="C11" s="594"/>
      <c r="D11" s="515" t="s">
        <v>6</v>
      </c>
      <c r="E11" s="516"/>
      <c r="F11" s="15">
        <f>1382.5+74.4+200.3</f>
        <v>1657.2</v>
      </c>
      <c r="G11" s="379">
        <f>54.6+350.4+109.8+365.7+110.9</f>
        <v>991.4</v>
      </c>
      <c r="H11" s="380">
        <f>74.4+200.3+94.2+205.5+91.4</f>
        <v>665.80000000000007</v>
      </c>
    </row>
    <row r="12" spans="1:10" ht="15.75" thickBot="1">
      <c r="A12" s="7"/>
      <c r="B12" s="7"/>
      <c r="C12" s="594"/>
      <c r="D12" s="956" t="s">
        <v>7</v>
      </c>
      <c r="E12" s="957"/>
      <c r="F12" s="15">
        <f>F11+F10</f>
        <v>33593</v>
      </c>
      <c r="G12" s="688">
        <f>G10+G11</f>
        <v>18717.900000000001</v>
      </c>
      <c r="H12" s="689">
        <f>H10+H11</f>
        <v>14875.099999999999</v>
      </c>
    </row>
    <row r="13" spans="1:10" ht="27" customHeight="1">
      <c r="A13" s="7"/>
      <c r="B13" s="7"/>
      <c r="C13" s="594"/>
      <c r="D13" s="995" t="s">
        <v>8</v>
      </c>
      <c r="E13" s="995"/>
      <c r="F13" s="686">
        <f>F24</f>
        <v>46.512099105468401</v>
      </c>
      <c r="G13" s="687">
        <f>G12*100/F12</f>
        <v>55.719643973446857</v>
      </c>
      <c r="H13" s="687">
        <f>H12*100/F12</f>
        <v>44.280356026553143</v>
      </c>
    </row>
    <row r="14" spans="1:10" ht="15.75" thickBot="1">
      <c r="A14" s="7"/>
      <c r="B14" s="7" t="s">
        <v>9</v>
      </c>
      <c r="C14" s="594"/>
      <c r="E14" s="10"/>
      <c r="F14" s="11"/>
    </row>
    <row r="15" spans="1:10" hidden="1">
      <c r="A15" s="17" t="s">
        <v>10</v>
      </c>
      <c r="B15" s="17" t="s">
        <v>11</v>
      </c>
      <c r="C15" s="595" t="s">
        <v>12</v>
      </c>
      <c r="D15" s="17" t="s">
        <v>13</v>
      </c>
      <c r="E15" s="305" t="s">
        <v>212</v>
      </c>
      <c r="F15" s="11"/>
    </row>
    <row r="16" spans="1:10" hidden="1">
      <c r="A16" s="17" t="s">
        <v>14</v>
      </c>
      <c r="B16" s="17"/>
      <c r="C16" s="595" t="s">
        <v>15</v>
      </c>
      <c r="D16" s="516" t="s">
        <v>15</v>
      </c>
      <c r="E16" s="19"/>
      <c r="F16" s="11"/>
    </row>
    <row r="17" spans="1:13" hidden="1">
      <c r="A17" s="17" t="s">
        <v>16</v>
      </c>
      <c r="B17" s="17" t="s">
        <v>17</v>
      </c>
      <c r="C17" s="595"/>
      <c r="D17" s="516"/>
      <c r="E17" s="19"/>
      <c r="F17" s="11"/>
    </row>
    <row r="18" spans="1:13" hidden="1">
      <c r="A18" s="17" t="s">
        <v>18</v>
      </c>
      <c r="B18" s="17" t="s">
        <v>19</v>
      </c>
      <c r="C18" s="596">
        <f>D18*12</f>
        <v>17824813.135349013</v>
      </c>
      <c r="D18" s="21">
        <f>F13*F10</f>
        <v>1485401.0946124177</v>
      </c>
      <c r="E18" s="192">
        <f>D18*12</f>
        <v>17824813.135349013</v>
      </c>
      <c r="F18" s="11"/>
    </row>
    <row r="19" spans="1:13" hidden="1">
      <c r="A19" s="17"/>
      <c r="B19" s="17" t="s">
        <v>20</v>
      </c>
      <c r="C19" s="596">
        <f>D19*12</f>
        <v>924958.20765098673</v>
      </c>
      <c r="D19" s="21">
        <f>F13*F11</f>
        <v>77079.850637582233</v>
      </c>
      <c r="E19" s="192">
        <f>D19*12</f>
        <v>924958.20765098673</v>
      </c>
      <c r="F19" s="11"/>
    </row>
    <row r="20" spans="1:13" ht="15.75" hidden="1" thickBot="1">
      <c r="A20" s="368"/>
      <c r="B20" s="368" t="s">
        <v>21</v>
      </c>
      <c r="C20" s="597">
        <f>C18+C19</f>
        <v>18749771.342999998</v>
      </c>
      <c r="D20" s="369">
        <f>D18+D19</f>
        <v>1562480.9452499999</v>
      </c>
      <c r="E20" s="370">
        <f>D20*12</f>
        <v>18749771.342999998</v>
      </c>
      <c r="F20" s="11"/>
      <c r="G20" s="308">
        <f>D24-G24</f>
        <v>8802983.8119600024</v>
      </c>
      <c r="H20" s="308"/>
      <c r="I20" s="308">
        <f>G20-I24</f>
        <v>0</v>
      </c>
      <c r="J20" s="308"/>
    </row>
    <row r="21" spans="1:13" ht="45.75" customHeight="1" thickBot="1">
      <c r="A21" s="756"/>
      <c r="B21" s="970" t="s">
        <v>22</v>
      </c>
      <c r="C21" s="598"/>
      <c r="D21" s="964" t="s">
        <v>323</v>
      </c>
      <c r="E21" s="966" t="s">
        <v>416</v>
      </c>
      <c r="F21" s="968" t="s">
        <v>415</v>
      </c>
      <c r="G21" s="960" t="s">
        <v>25</v>
      </c>
      <c r="H21" s="961"/>
      <c r="I21" s="962" t="s">
        <v>325</v>
      </c>
      <c r="J21" s="963"/>
      <c r="K21" s="549"/>
      <c r="L21" s="997" t="s">
        <v>230</v>
      </c>
    </row>
    <row r="22" spans="1:13" ht="72" customHeight="1" thickBot="1">
      <c r="A22" s="754"/>
      <c r="B22" s="971"/>
      <c r="C22" s="599" t="s">
        <v>23</v>
      </c>
      <c r="D22" s="999"/>
      <c r="E22" s="1000"/>
      <c r="F22" s="996"/>
      <c r="G22" s="375" t="s">
        <v>323</v>
      </c>
      <c r="H22" s="333" t="s">
        <v>24</v>
      </c>
      <c r="I22" s="413" t="s">
        <v>323</v>
      </c>
      <c r="J22" s="372" t="s">
        <v>24</v>
      </c>
      <c r="K22" s="550" t="s">
        <v>214</v>
      </c>
      <c r="L22" s="998"/>
    </row>
    <row r="23" spans="1:13" ht="23.25" customHeight="1" thickBot="1">
      <c r="A23" s="22"/>
      <c r="B23" s="334" t="s">
        <v>413</v>
      </c>
      <c r="C23" s="599"/>
      <c r="D23" s="824">
        <f t="shared" ref="D23:I23" si="0">D63+D68+D70+D72+D73+D74+D75+D77+D84+D90+D96</f>
        <v>2971870.7960000001</v>
      </c>
      <c r="E23" s="824">
        <f t="shared" si="0"/>
        <v>247655.89966666664</v>
      </c>
      <c r="F23" s="824">
        <f t="shared" si="0"/>
        <v>7.3722471844332649</v>
      </c>
      <c r="G23" s="824">
        <f t="shared" si="0"/>
        <v>1745051.4262516</v>
      </c>
      <c r="H23" s="824">
        <f t="shared" si="0"/>
        <v>7.7690847898339737</v>
      </c>
      <c r="I23" s="824">
        <f t="shared" si="0"/>
        <v>1226819.3697484001</v>
      </c>
      <c r="J23" s="825">
        <f>J63+J68+J70+J72+J73+J74+J75+J77+J84+J90+J96</f>
        <v>6.8728914413370896</v>
      </c>
      <c r="K23" s="550"/>
      <c r="L23" s="826"/>
    </row>
    <row r="24" spans="1:13" ht="26.25" hidden="1" customHeight="1" thickBot="1">
      <c r="A24" s="33">
        <v>1</v>
      </c>
      <c r="B24" s="334" t="s">
        <v>346</v>
      </c>
      <c r="C24" s="600"/>
      <c r="D24" s="41">
        <f>D27+D45+D48+D52+D56+D78+D64</f>
        <v>18749771.343000002</v>
      </c>
      <c r="E24" s="41">
        <f>E27+E45+E48+E52+E56+E78+E64</f>
        <v>1562480.9452499999</v>
      </c>
      <c r="F24" s="42">
        <f>F27+F45+F48+F52+F56+F78+F64</f>
        <v>46.512099105468401</v>
      </c>
      <c r="G24" s="289">
        <f>G27+G45+G48+G52+G56+G78+G64</f>
        <v>9946787.5310399998</v>
      </c>
      <c r="H24" s="42">
        <f>H27+H45+H48+H52+H56+H64+H78</f>
        <v>44.283758376740977</v>
      </c>
      <c r="I24" s="822">
        <f>I27+I45+I48+I52+I56+I78+I64</f>
        <v>8802983.8119600005</v>
      </c>
      <c r="J24" s="823">
        <f>J27+J45+J48+J52+J56+J64+J78</f>
        <v>49.316104384508343</v>
      </c>
      <c r="K24" s="551"/>
      <c r="L24" s="668"/>
      <c r="M24" s="3"/>
    </row>
    <row r="25" spans="1:13" ht="34.5" hidden="1" customHeight="1" thickBot="1">
      <c r="A25" s="33" t="s">
        <v>28</v>
      </c>
      <c r="B25" s="34" t="s">
        <v>236</v>
      </c>
      <c r="C25" s="601"/>
      <c r="D25" s="329"/>
      <c r="E25" s="329"/>
      <c r="F25" s="330"/>
      <c r="G25" s="331"/>
      <c r="H25" s="414"/>
      <c r="I25" s="363"/>
      <c r="J25" s="376"/>
      <c r="K25" s="551"/>
      <c r="L25" s="179"/>
    </row>
    <row r="26" spans="1:13" ht="22.5" customHeight="1" thickBot="1">
      <c r="A26" s="28"/>
      <c r="B26" s="338"/>
      <c r="C26" s="602"/>
      <c r="D26" s="339"/>
      <c r="E26" s="339"/>
      <c r="F26" s="340"/>
      <c r="G26" s="341"/>
      <c r="H26" s="415"/>
      <c r="I26" s="341"/>
      <c r="J26" s="341"/>
      <c r="K26" s="552"/>
      <c r="L26" s="342"/>
    </row>
    <row r="27" spans="1:13" ht="18" hidden="1" customHeight="1" thickBot="1">
      <c r="A27" s="326"/>
      <c r="B27" s="327" t="s">
        <v>256</v>
      </c>
      <c r="C27" s="603"/>
      <c r="D27" s="328">
        <f>SUM(D28:D44)</f>
        <v>3927850</v>
      </c>
      <c r="E27" s="328">
        <f t="shared" ref="E27:J27" si="1">SUM(E28:E44)</f>
        <v>327320.83333333337</v>
      </c>
      <c r="F27" s="328">
        <f t="shared" si="1"/>
        <v>9.7437214102144303</v>
      </c>
      <c r="G27" s="328">
        <f t="shared" si="1"/>
        <v>1599480.7399999998</v>
      </c>
      <c r="H27" s="328">
        <f t="shared" si="1"/>
        <v>7.1209944313553679</v>
      </c>
      <c r="I27" s="328">
        <f t="shared" si="1"/>
        <v>2328369.2600000002</v>
      </c>
      <c r="J27" s="585">
        <f t="shared" si="1"/>
        <v>13.043997799454571</v>
      </c>
      <c r="K27" s="553"/>
      <c r="L27" s="419" t="s">
        <v>307</v>
      </c>
    </row>
    <row r="28" spans="1:13" ht="30.75" hidden="1" customHeight="1">
      <c r="A28" s="43" t="s">
        <v>231</v>
      </c>
      <c r="B28" s="44" t="s">
        <v>253</v>
      </c>
      <c r="C28" s="604" t="s">
        <v>30</v>
      </c>
      <c r="D28" s="347">
        <v>360000</v>
      </c>
      <c r="E28" s="47">
        <f t="shared" ref="E28:E44" si="2">D28/12</f>
        <v>30000</v>
      </c>
      <c r="F28" s="351">
        <f>E28/F12</f>
        <v>0.89304319352246009</v>
      </c>
      <c r="G28" s="323">
        <f t="shared" ref="G28:G40" si="3">D28*55.4%</f>
        <v>199439.99999999997</v>
      </c>
      <c r="H28" s="416">
        <f>G28/G12/12</f>
        <v>0.88792011924414582</v>
      </c>
      <c r="I28" s="348">
        <f t="shared" ref="I28:I40" si="4">D28-G28</f>
        <v>160560.00000000003</v>
      </c>
      <c r="J28" s="381">
        <f>I28/H$12/12</f>
        <v>0.89948975132940312</v>
      </c>
      <c r="K28" s="556"/>
      <c r="L28" s="420"/>
      <c r="M28" s="50"/>
    </row>
    <row r="29" spans="1:13" ht="30.75" hidden="1" customHeight="1">
      <c r="A29" s="51" t="s">
        <v>29</v>
      </c>
      <c r="B29" s="52" t="s">
        <v>255</v>
      </c>
      <c r="C29" s="605" t="s">
        <v>32</v>
      </c>
      <c r="D29" s="54">
        <v>40000</v>
      </c>
      <c r="E29" s="47">
        <f t="shared" si="2"/>
        <v>3333.3333333333335</v>
      </c>
      <c r="F29" s="352">
        <f>E29/F12</f>
        <v>9.9227021502495558E-2</v>
      </c>
      <c r="G29" s="323">
        <f t="shared" si="3"/>
        <v>22159.999999999996</v>
      </c>
      <c r="H29" s="416">
        <f>G29/G12/12</f>
        <v>9.8657791027127309E-2</v>
      </c>
      <c r="I29" s="323">
        <f t="shared" si="4"/>
        <v>17840.000000000004</v>
      </c>
      <c r="J29" s="381">
        <f t="shared" ref="J29:J44" si="5">I29/H$12/12</f>
        <v>9.9943305703267024E-2</v>
      </c>
      <c r="K29" s="584" t="s">
        <v>89</v>
      </c>
      <c r="L29" s="421"/>
      <c r="M29" s="50"/>
    </row>
    <row r="30" spans="1:13" ht="26.25" hidden="1" customHeight="1">
      <c r="A30" s="51" t="s">
        <v>31</v>
      </c>
      <c r="B30" s="52" t="s">
        <v>254</v>
      </c>
      <c r="C30" s="589" t="s">
        <v>34</v>
      </c>
      <c r="D30" s="54">
        <v>60000</v>
      </c>
      <c r="E30" s="47">
        <f t="shared" si="2"/>
        <v>5000</v>
      </c>
      <c r="F30" s="352">
        <f>E30/F12</f>
        <v>0.14884053225374333</v>
      </c>
      <c r="G30" s="323">
        <f>D30*55.4%</f>
        <v>33239.999999999993</v>
      </c>
      <c r="H30" s="416">
        <f>G30/G$12/12</f>
        <v>0.14798668654069094</v>
      </c>
      <c r="I30" s="323">
        <f>D30-G30</f>
        <v>26760.000000000007</v>
      </c>
      <c r="J30" s="381">
        <f t="shared" si="5"/>
        <v>0.14991495855490053</v>
      </c>
      <c r="K30" s="558" t="s">
        <v>90</v>
      </c>
      <c r="L30" s="422"/>
    </row>
    <row r="31" spans="1:13" ht="32.25" hidden="1" customHeight="1">
      <c r="A31" s="56" t="s">
        <v>33</v>
      </c>
      <c r="B31" s="52" t="s">
        <v>36</v>
      </c>
      <c r="C31" s="606"/>
      <c r="D31" s="54">
        <v>45000</v>
      </c>
      <c r="E31" s="47">
        <f t="shared" si="2"/>
        <v>3750</v>
      </c>
      <c r="F31" s="352">
        <f>E31/F12</f>
        <v>0.11163039919030751</v>
      </c>
      <c r="G31" s="323">
        <f t="shared" si="3"/>
        <v>24929.999999999996</v>
      </c>
      <c r="H31" s="416">
        <f t="shared" ref="H31:H44" si="6">G31/G$12/12</f>
        <v>0.11099001490551823</v>
      </c>
      <c r="I31" s="323">
        <f t="shared" si="4"/>
        <v>20070.000000000004</v>
      </c>
      <c r="J31" s="381">
        <f t="shared" si="5"/>
        <v>0.11243621891617539</v>
      </c>
      <c r="K31" s="558"/>
      <c r="L31" s="422"/>
    </row>
    <row r="32" spans="1:13" ht="25.5" hidden="1" customHeight="1">
      <c r="A32" s="51" t="s">
        <v>35</v>
      </c>
      <c r="B32" s="52" t="s">
        <v>257</v>
      </c>
      <c r="C32" s="589" t="s">
        <v>38</v>
      </c>
      <c r="D32" s="54">
        <v>45000</v>
      </c>
      <c r="E32" s="47">
        <f t="shared" si="2"/>
        <v>3750</v>
      </c>
      <c r="F32" s="352">
        <f>E32/F12</f>
        <v>0.11163039919030751</v>
      </c>
      <c r="G32" s="323">
        <f t="shared" si="3"/>
        <v>24929.999999999996</v>
      </c>
      <c r="H32" s="416">
        <f t="shared" si="6"/>
        <v>0.11099001490551823</v>
      </c>
      <c r="I32" s="323">
        <f t="shared" si="4"/>
        <v>20070.000000000004</v>
      </c>
      <c r="J32" s="381">
        <f t="shared" si="5"/>
        <v>0.11243621891617539</v>
      </c>
      <c r="K32" s="558"/>
      <c r="L32" s="422"/>
    </row>
    <row r="33" spans="1:12" ht="25.5" hidden="1" customHeight="1">
      <c r="A33" s="51" t="s">
        <v>37</v>
      </c>
      <c r="B33" s="44" t="s">
        <v>262</v>
      </c>
      <c r="C33" s="589" t="s">
        <v>40</v>
      </c>
      <c r="D33" s="57">
        <v>45000</v>
      </c>
      <c r="E33" s="47">
        <f t="shared" si="2"/>
        <v>3750</v>
      </c>
      <c r="F33" s="352">
        <f>E33/F12</f>
        <v>0.11163039919030751</v>
      </c>
      <c r="G33" s="323">
        <f t="shared" si="3"/>
        <v>24929.999999999996</v>
      </c>
      <c r="H33" s="416">
        <f t="shared" si="6"/>
        <v>0.11099001490551823</v>
      </c>
      <c r="I33" s="323">
        <f t="shared" si="4"/>
        <v>20070.000000000004</v>
      </c>
      <c r="J33" s="381">
        <f t="shared" si="5"/>
        <v>0.11243621891617539</v>
      </c>
      <c r="K33" s="558" t="s">
        <v>232</v>
      </c>
      <c r="L33" s="422"/>
    </row>
    <row r="34" spans="1:12" ht="21.75" hidden="1" customHeight="1">
      <c r="A34" s="51" t="s">
        <v>39</v>
      </c>
      <c r="B34" s="113" t="s">
        <v>223</v>
      </c>
      <c r="C34" s="607"/>
      <c r="D34" s="117">
        <v>81000</v>
      </c>
      <c r="E34" s="117">
        <f t="shared" si="2"/>
        <v>6750</v>
      </c>
      <c r="F34" s="587">
        <f>E34/F12</f>
        <v>0.20093471854255351</v>
      </c>
      <c r="G34" s="341"/>
      <c r="H34" s="586">
        <f t="shared" si="6"/>
        <v>0</v>
      </c>
      <c r="I34" s="38">
        <f t="shared" si="4"/>
        <v>81000</v>
      </c>
      <c r="J34" s="381">
        <f t="shared" si="5"/>
        <v>0.45377846199353283</v>
      </c>
      <c r="K34" s="557" t="s">
        <v>88</v>
      </c>
      <c r="L34" s="423"/>
    </row>
    <row r="35" spans="1:12" ht="21.75" hidden="1" customHeight="1">
      <c r="A35" s="345" t="s">
        <v>86</v>
      </c>
      <c r="B35" s="221" t="s">
        <v>310</v>
      </c>
      <c r="C35" s="608"/>
      <c r="D35" s="117">
        <v>100000</v>
      </c>
      <c r="E35" s="117">
        <f t="shared" si="2"/>
        <v>8333.3333333333339</v>
      </c>
      <c r="F35" s="588">
        <f>E35/F12</f>
        <v>0.24806755375623893</v>
      </c>
      <c r="G35" s="348">
        <f>D35</f>
        <v>100000</v>
      </c>
      <c r="H35" s="416">
        <f t="shared" si="6"/>
        <v>0.44520663820905831</v>
      </c>
      <c r="I35" s="348"/>
      <c r="J35" s="381">
        <f t="shared" si="5"/>
        <v>0</v>
      </c>
      <c r="K35" s="556" t="s">
        <v>87</v>
      </c>
      <c r="L35" s="424"/>
    </row>
    <row r="36" spans="1:12" ht="21.75" hidden="1" customHeight="1">
      <c r="A36" s="345"/>
      <c r="B36" s="113" t="s">
        <v>318</v>
      </c>
      <c r="C36" s="609"/>
      <c r="D36" s="61">
        <f>I36</f>
        <v>202000</v>
      </c>
      <c r="E36" s="336">
        <f t="shared" si="2"/>
        <v>16833.333333333332</v>
      </c>
      <c r="F36" s="353">
        <f>E36/F12</f>
        <v>0.50109645858760254</v>
      </c>
      <c r="G36" s="239"/>
      <c r="H36" s="416">
        <f t="shared" si="6"/>
        <v>0</v>
      </c>
      <c r="I36" s="239">
        <f>102000+(100000)</f>
        <v>202000</v>
      </c>
      <c r="J36" s="381">
        <f t="shared" si="5"/>
        <v>1.131645053366588</v>
      </c>
      <c r="K36" s="558"/>
      <c r="L36" s="422"/>
    </row>
    <row r="37" spans="1:12" ht="33.75" hidden="1" customHeight="1">
      <c r="A37" s="346" t="s">
        <v>87</v>
      </c>
      <c r="B37" s="63" t="s">
        <v>261</v>
      </c>
      <c r="C37" s="610"/>
      <c r="D37" s="61">
        <v>200000</v>
      </c>
      <c r="E37" s="336">
        <f t="shared" si="2"/>
        <v>16666.666666666668</v>
      </c>
      <c r="F37" s="353">
        <f>E37/F12</f>
        <v>0.49613510751247786</v>
      </c>
      <c r="G37" s="239"/>
      <c r="H37" s="416">
        <f t="shared" si="6"/>
        <v>0</v>
      </c>
      <c r="I37" s="239">
        <f>D37-G37</f>
        <v>200000</v>
      </c>
      <c r="J37" s="381">
        <f t="shared" si="5"/>
        <v>1.120440646897612</v>
      </c>
      <c r="K37" s="558" t="s">
        <v>222</v>
      </c>
      <c r="L37" s="422"/>
    </row>
    <row r="38" spans="1:12" ht="21.75" hidden="1" customHeight="1">
      <c r="A38" s="346"/>
      <c r="B38" s="63" t="s">
        <v>319</v>
      </c>
      <c r="C38" s="610"/>
      <c r="D38" s="61">
        <f>I38</f>
        <v>133000</v>
      </c>
      <c r="E38" s="336">
        <f t="shared" si="2"/>
        <v>11083.333333333334</v>
      </c>
      <c r="F38" s="353">
        <f>E38/F12</f>
        <v>0.32992984649579776</v>
      </c>
      <c r="G38" s="239"/>
      <c r="H38" s="416">
        <f t="shared" si="6"/>
        <v>0</v>
      </c>
      <c r="I38" s="239">
        <v>133000</v>
      </c>
      <c r="J38" s="381">
        <f t="shared" si="5"/>
        <v>0.74509303018691198</v>
      </c>
      <c r="K38" s="558"/>
      <c r="L38" s="422"/>
    </row>
    <row r="39" spans="1:12" ht="21.75" hidden="1" customHeight="1">
      <c r="A39" s="346" t="s">
        <v>221</v>
      </c>
      <c r="B39" s="63" t="s">
        <v>314</v>
      </c>
      <c r="C39" s="610"/>
      <c r="D39" s="61">
        <f>G39+I39</f>
        <v>65000</v>
      </c>
      <c r="E39" s="336">
        <f t="shared" si="2"/>
        <v>5416.666666666667</v>
      </c>
      <c r="F39" s="353">
        <f>E39/F12</f>
        <v>0.1612439099415553</v>
      </c>
      <c r="G39" s="239">
        <v>45000</v>
      </c>
      <c r="H39" s="416">
        <f t="shared" si="6"/>
        <v>0.20034298719407626</v>
      </c>
      <c r="I39" s="239">
        <v>20000</v>
      </c>
      <c r="J39" s="381">
        <f t="shared" si="5"/>
        <v>0.11204406468976119</v>
      </c>
      <c r="K39" s="558" t="s">
        <v>221</v>
      </c>
      <c r="L39" s="422"/>
    </row>
    <row r="40" spans="1:12" ht="27" hidden="1" customHeight="1">
      <c r="A40" s="85" t="s">
        <v>41</v>
      </c>
      <c r="B40" s="337" t="s">
        <v>45</v>
      </c>
      <c r="C40" s="611"/>
      <c r="D40" s="54">
        <f>45000*2*1.305*12</f>
        <v>1409400</v>
      </c>
      <c r="E40" s="336">
        <f t="shared" si="2"/>
        <v>117450</v>
      </c>
      <c r="F40" s="353">
        <f>E40/F12</f>
        <v>3.4962641026404309</v>
      </c>
      <c r="G40" s="364">
        <f t="shared" si="3"/>
        <v>780807.59999999986</v>
      </c>
      <c r="H40" s="416">
        <f t="shared" si="6"/>
        <v>3.4762072668408308</v>
      </c>
      <c r="I40" s="364">
        <f t="shared" si="4"/>
        <v>628592.40000000014</v>
      </c>
      <c r="J40" s="381">
        <f t="shared" si="5"/>
        <v>3.5215023764546132</v>
      </c>
      <c r="K40" s="558"/>
      <c r="L40" s="422"/>
    </row>
    <row r="41" spans="1:12" ht="18" hidden="1" customHeight="1">
      <c r="A41" s="85" t="s">
        <v>42</v>
      </c>
      <c r="B41" s="337" t="s">
        <v>309</v>
      </c>
      <c r="C41" s="611"/>
      <c r="D41" s="54">
        <v>225000</v>
      </c>
      <c r="E41" s="336">
        <f t="shared" si="2"/>
        <v>18750</v>
      </c>
      <c r="F41" s="353">
        <f>E41/F12</f>
        <v>0.55815199595153753</v>
      </c>
      <c r="G41" s="364"/>
      <c r="H41" s="416">
        <f t="shared" si="6"/>
        <v>0</v>
      </c>
      <c r="I41" s="364">
        <v>225000</v>
      </c>
      <c r="J41" s="381">
        <f t="shared" si="5"/>
        <v>1.2604957277598134</v>
      </c>
      <c r="K41" s="558"/>
      <c r="L41" s="422"/>
    </row>
    <row r="42" spans="1:12" ht="27" hidden="1" customHeight="1">
      <c r="A42" s="85" t="s">
        <v>43</v>
      </c>
      <c r="B42" s="499" t="s">
        <v>275</v>
      </c>
      <c r="C42" s="612"/>
      <c r="D42" s="54">
        <f>45000*2*1.305</f>
        <v>117450</v>
      </c>
      <c r="E42" s="336">
        <f t="shared" si="2"/>
        <v>9787.5</v>
      </c>
      <c r="F42" s="353">
        <f>E42/F12</f>
        <v>0.29135534188670259</v>
      </c>
      <c r="G42" s="364">
        <f>D42*55.72%</f>
        <v>65443.140000000007</v>
      </c>
      <c r="H42" s="416">
        <f t="shared" si="6"/>
        <v>0.29135720353244754</v>
      </c>
      <c r="I42" s="364">
        <f t="shared" ref="I42" si="7">D42-G42</f>
        <v>52006.859999999993</v>
      </c>
      <c r="J42" s="381">
        <f t="shared" si="5"/>
        <v>0.29135299930756769</v>
      </c>
      <c r="K42" s="558"/>
      <c r="L42" s="422"/>
    </row>
    <row r="43" spans="1:12" ht="27" hidden="1" customHeight="1">
      <c r="A43" s="85" t="s">
        <v>44</v>
      </c>
      <c r="B43" s="337" t="s">
        <v>335</v>
      </c>
      <c r="C43" s="611"/>
      <c r="D43" s="76">
        <f>I43</f>
        <v>300000</v>
      </c>
      <c r="E43" s="356">
        <f t="shared" si="2"/>
        <v>25000</v>
      </c>
      <c r="F43" s="357">
        <f>E43/F12</f>
        <v>0.7442026612687167</v>
      </c>
      <c r="G43" s="412">
        <v>0</v>
      </c>
      <c r="H43" s="416">
        <v>0</v>
      </c>
      <c r="I43" s="412">
        <f>100000*3</f>
        <v>300000</v>
      </c>
      <c r="J43" s="381">
        <f t="shared" si="5"/>
        <v>1.6806609703464179</v>
      </c>
      <c r="K43" s="557"/>
      <c r="L43" s="423"/>
    </row>
    <row r="44" spans="1:12" ht="27" hidden="1" customHeight="1" thickBot="1">
      <c r="A44" s="85" t="s">
        <v>44</v>
      </c>
      <c r="B44" s="337" t="s">
        <v>322</v>
      </c>
      <c r="C44" s="611"/>
      <c r="D44" s="76">
        <v>500000</v>
      </c>
      <c r="E44" s="356">
        <f t="shared" si="2"/>
        <v>41666.666666666664</v>
      </c>
      <c r="F44" s="357">
        <f>E44/F12</f>
        <v>1.2403377687811945</v>
      </c>
      <c r="G44" s="412">
        <f>D44*55.72%</f>
        <v>278600</v>
      </c>
      <c r="H44" s="416">
        <f t="shared" si="6"/>
        <v>1.2403456940504365</v>
      </c>
      <c r="I44" s="358">
        <f>D44-G44</f>
        <v>221400</v>
      </c>
      <c r="J44" s="543">
        <f t="shared" si="5"/>
        <v>1.2403277961156565</v>
      </c>
      <c r="K44" s="554"/>
      <c r="L44" s="423"/>
    </row>
    <row r="45" spans="1:12" s="7" customFormat="1" ht="20.25" hidden="1" thickBot="1">
      <c r="A45" s="359"/>
      <c r="B45" s="360" t="s">
        <v>47</v>
      </c>
      <c r="C45" s="613"/>
      <c r="D45" s="68">
        <f>SUM(D46:D47)</f>
        <v>1404995</v>
      </c>
      <c r="E45" s="361">
        <f t="shared" ref="E45:I45" si="8">SUM(E46:E47)</f>
        <v>117082.91666666667</v>
      </c>
      <c r="F45" s="69">
        <f t="shared" si="8"/>
        <v>3.4853367268974687</v>
      </c>
      <c r="G45" s="361">
        <f t="shared" si="8"/>
        <v>782577.21400000004</v>
      </c>
      <c r="H45" s="254">
        <f>SUM(H46:H47)</f>
        <v>3.4840857058395085</v>
      </c>
      <c r="I45" s="361">
        <f t="shared" si="8"/>
        <v>622417.78599999996</v>
      </c>
      <c r="J45" s="546">
        <f>SUM(J46:J47)</f>
        <v>3.4869109339320969</v>
      </c>
      <c r="K45" s="555"/>
      <c r="L45" s="425" t="s">
        <v>274</v>
      </c>
    </row>
    <row r="46" spans="1:12" s="190" customFormat="1" ht="29.25" hidden="1" customHeight="1">
      <c r="A46" s="197" t="s">
        <v>42</v>
      </c>
      <c r="B46" s="44" t="s">
        <v>49</v>
      </c>
      <c r="C46" s="591" t="s">
        <v>50</v>
      </c>
      <c r="D46" s="57">
        <f>117045*11+112500</f>
        <v>1399995</v>
      </c>
      <c r="E46" s="47">
        <f>D46/12</f>
        <v>116666.25</v>
      </c>
      <c r="F46" s="354">
        <f>E46/F12</f>
        <v>3.4729333492096566</v>
      </c>
      <c r="G46" s="323">
        <f>D46*55.72%</f>
        <v>780077.21400000004</v>
      </c>
      <c r="H46" s="416">
        <f>G46/G$12/12</f>
        <v>3.472955539884282</v>
      </c>
      <c r="I46" s="323">
        <f>D46-G46</f>
        <v>619917.78599999996</v>
      </c>
      <c r="J46" s="545">
        <f>I46/H$12/12</f>
        <v>3.4729054258458767</v>
      </c>
      <c r="K46" s="556"/>
      <c r="L46" s="426"/>
    </row>
    <row r="47" spans="1:12" s="190" customFormat="1" ht="30" hidden="1" customHeight="1" thickBot="1">
      <c r="A47" s="199" t="s">
        <v>43</v>
      </c>
      <c r="B47" s="200" t="s">
        <v>52</v>
      </c>
      <c r="C47" s="590" t="s">
        <v>38</v>
      </c>
      <c r="D47" s="122">
        <v>5000</v>
      </c>
      <c r="E47" s="324">
        <f>D47/12</f>
        <v>416.66666666666669</v>
      </c>
      <c r="F47" s="355">
        <f>E47/F12</f>
        <v>1.2403377687811945E-2</v>
      </c>
      <c r="G47" s="341">
        <v>2500</v>
      </c>
      <c r="H47" s="416">
        <f>G47/G$12/12</f>
        <v>1.1130165955226458E-2</v>
      </c>
      <c r="I47" s="341">
        <v>2500</v>
      </c>
      <c r="J47" s="547">
        <f>I47/H$12/12</f>
        <v>1.4005508086220149E-2</v>
      </c>
      <c r="K47" s="557"/>
      <c r="L47" s="427"/>
    </row>
    <row r="48" spans="1:12" s="7" customFormat="1" ht="19.5" hidden="1" customHeight="1" thickBot="1">
      <c r="A48" s="65"/>
      <c r="B48" s="203" t="s">
        <v>53</v>
      </c>
      <c r="C48" s="600"/>
      <c r="D48" s="68">
        <f>SUM(D49:D51)</f>
        <v>522000</v>
      </c>
      <c r="E48" s="68">
        <f t="shared" ref="E48:I48" si="9">SUM(E49:E51)</f>
        <v>43500</v>
      </c>
      <c r="F48" s="69">
        <f t="shared" si="9"/>
        <v>1.2949126306075671</v>
      </c>
      <c r="G48" s="290">
        <f t="shared" si="9"/>
        <v>290858.40000000002</v>
      </c>
      <c r="H48" s="254">
        <f>SUM(H49:H51)</f>
        <v>1.2949209045886558</v>
      </c>
      <c r="I48" s="361">
        <f t="shared" si="9"/>
        <v>231141.59999999998</v>
      </c>
      <c r="J48" s="546">
        <f>SUM(J49:J51)</f>
        <v>1.2949022191447452</v>
      </c>
      <c r="K48" s="555"/>
      <c r="L48" s="425" t="s">
        <v>274</v>
      </c>
    </row>
    <row r="49" spans="1:15" ht="33.75" hidden="1" customHeight="1">
      <c r="A49" s="43" t="s">
        <v>44</v>
      </c>
      <c r="B49" s="44" t="s">
        <v>55</v>
      </c>
      <c r="C49" s="591" t="s">
        <v>56</v>
      </c>
      <c r="D49" s="57">
        <f>36000*12</f>
        <v>432000</v>
      </c>
      <c r="E49" s="47">
        <f t="shared" ref="E49:E97" si="10">D49/12</f>
        <v>36000</v>
      </c>
      <c r="F49" s="48">
        <f>E49/F12</f>
        <v>1.0716518322269522</v>
      </c>
      <c r="G49" s="49">
        <f>D49*55.72%</f>
        <v>240710.40000000002</v>
      </c>
      <c r="H49" s="416">
        <f t="shared" ref="H49:H63" si="11">G49/G$12/12</f>
        <v>1.0716586796595773</v>
      </c>
      <c r="I49" s="323">
        <f t="shared" ref="I49:I55" si="12">D49-G49</f>
        <v>191289.59999999998</v>
      </c>
      <c r="J49" s="545">
        <f t="shared" ref="J49:J63" si="13">I49/H$12/12</f>
        <v>1.0716432158439271</v>
      </c>
      <c r="K49" s="556"/>
      <c r="L49" s="424"/>
    </row>
    <row r="50" spans="1:15" ht="21.75" hidden="1" customHeight="1">
      <c r="A50" s="51" t="s">
        <v>46</v>
      </c>
      <c r="B50" s="52" t="s">
        <v>58</v>
      </c>
      <c r="C50" s="589" t="s">
        <v>59</v>
      </c>
      <c r="D50" s="61">
        <v>30000</v>
      </c>
      <c r="E50" s="47">
        <f>D50/12</f>
        <v>2500</v>
      </c>
      <c r="F50" s="48">
        <f>E50/F12</f>
        <v>7.4420266126871665E-2</v>
      </c>
      <c r="G50" s="49">
        <f>D50*55.72%</f>
        <v>16716</v>
      </c>
      <c r="H50" s="416">
        <f t="shared" si="11"/>
        <v>7.4420741643026186E-2</v>
      </c>
      <c r="I50" s="323">
        <f>D50-G50</f>
        <v>13284</v>
      </c>
      <c r="J50" s="544">
        <f t="shared" si="13"/>
        <v>7.4419667766939382E-2</v>
      </c>
      <c r="K50" s="558"/>
      <c r="L50" s="422"/>
    </row>
    <row r="51" spans="1:15" ht="19.5" hidden="1" customHeight="1" thickBot="1">
      <c r="A51" s="85" t="s">
        <v>48</v>
      </c>
      <c r="B51" s="205" t="s">
        <v>61</v>
      </c>
      <c r="C51" s="590" t="s">
        <v>59</v>
      </c>
      <c r="D51" s="122">
        <v>60000</v>
      </c>
      <c r="E51" s="324">
        <f t="shared" si="10"/>
        <v>5000</v>
      </c>
      <c r="F51" s="196">
        <f>E51/F12</f>
        <v>0.14884053225374333</v>
      </c>
      <c r="G51" s="78">
        <f>D51*55.72%</f>
        <v>33432</v>
      </c>
      <c r="H51" s="417">
        <f t="shared" si="11"/>
        <v>0.14884148328605237</v>
      </c>
      <c r="I51" s="341">
        <f t="shared" si="12"/>
        <v>26568</v>
      </c>
      <c r="J51" s="547">
        <f t="shared" si="13"/>
        <v>0.14883933553387876</v>
      </c>
      <c r="K51" s="557"/>
      <c r="L51" s="423"/>
    </row>
    <row r="52" spans="1:15" ht="18.75" hidden="1" customHeight="1" thickBot="1">
      <c r="A52" s="65"/>
      <c r="B52" s="203" t="s">
        <v>63</v>
      </c>
      <c r="C52" s="600"/>
      <c r="D52" s="68">
        <f t="shared" ref="D52:J52" si="14">SUM(D53:D55)</f>
        <v>649420</v>
      </c>
      <c r="E52" s="68">
        <f t="shared" si="14"/>
        <v>54118.333333333336</v>
      </c>
      <c r="F52" s="69">
        <f t="shared" si="14"/>
        <v>1.6110003076037667</v>
      </c>
      <c r="G52" s="290">
        <f t="shared" si="14"/>
        <v>361856.82400000002</v>
      </c>
      <c r="H52" s="254">
        <f t="shared" si="14"/>
        <v>1.6110106012604688</v>
      </c>
      <c r="I52" s="361">
        <f t="shared" si="14"/>
        <v>287563.17599999998</v>
      </c>
      <c r="J52" s="546">
        <f t="shared" si="14"/>
        <v>1.6109873547068592</v>
      </c>
      <c r="K52" s="559"/>
      <c r="L52" s="500" t="s">
        <v>274</v>
      </c>
    </row>
    <row r="53" spans="1:15" ht="21.75" hidden="1" customHeight="1">
      <c r="A53" s="43" t="s">
        <v>54</v>
      </c>
      <c r="B53" s="44" t="s">
        <v>64</v>
      </c>
      <c r="C53" s="591"/>
      <c r="D53" s="57">
        <v>40000</v>
      </c>
      <c r="E53" s="47">
        <f t="shared" si="10"/>
        <v>3333.3333333333335</v>
      </c>
      <c r="F53" s="48">
        <f>E53/F12</f>
        <v>9.9227021502495558E-2</v>
      </c>
      <c r="G53" s="49">
        <f>D53*55.72%</f>
        <v>22288</v>
      </c>
      <c r="H53" s="416">
        <f t="shared" si="11"/>
        <v>9.9227655524034911E-2</v>
      </c>
      <c r="I53" s="323">
        <f t="shared" si="12"/>
        <v>17712</v>
      </c>
      <c r="J53" s="545">
        <f t="shared" si="13"/>
        <v>9.9226223689252532E-2</v>
      </c>
      <c r="K53" s="556" t="s">
        <v>233</v>
      </c>
      <c r="L53" s="424"/>
    </row>
    <row r="54" spans="1:15" ht="25.5" hidden="1" customHeight="1">
      <c r="A54" s="51" t="s">
        <v>57</v>
      </c>
      <c r="B54" s="63" t="s">
        <v>65</v>
      </c>
      <c r="C54" s="610" t="s">
        <v>66</v>
      </c>
      <c r="D54" s="61">
        <v>20000</v>
      </c>
      <c r="E54" s="47">
        <f t="shared" si="10"/>
        <v>1666.6666666666667</v>
      </c>
      <c r="F54" s="48">
        <f>E54/F12</f>
        <v>4.9613510751247779E-2</v>
      </c>
      <c r="G54" s="49">
        <f>D54*55.72%</f>
        <v>11144</v>
      </c>
      <c r="H54" s="416">
        <f t="shared" si="11"/>
        <v>4.9613827762017455E-2</v>
      </c>
      <c r="I54" s="323">
        <f t="shared" si="12"/>
        <v>8856</v>
      </c>
      <c r="J54" s="544">
        <f t="shared" si="13"/>
        <v>4.9613111844626266E-2</v>
      </c>
      <c r="K54" s="558"/>
      <c r="L54" s="422"/>
    </row>
    <row r="55" spans="1:15" ht="27" hidden="1" customHeight="1" thickBot="1">
      <c r="A55" s="51" t="s">
        <v>60</v>
      </c>
      <c r="B55" s="63" t="s">
        <v>67</v>
      </c>
      <c r="C55" s="610" t="s">
        <v>68</v>
      </c>
      <c r="D55" s="61">
        <v>589420</v>
      </c>
      <c r="E55" s="47">
        <f t="shared" si="10"/>
        <v>49118.333333333336</v>
      </c>
      <c r="F55" s="48">
        <f>E55/F12</f>
        <v>1.4621597753500233</v>
      </c>
      <c r="G55" s="49">
        <f>D55*55.72%</f>
        <v>328424.82400000002</v>
      </c>
      <c r="H55" s="418">
        <f t="shared" si="11"/>
        <v>1.4621691179744165</v>
      </c>
      <c r="I55" s="323">
        <f t="shared" si="12"/>
        <v>260995.17599999998</v>
      </c>
      <c r="J55" s="547">
        <f t="shared" si="13"/>
        <v>1.4621480191729803</v>
      </c>
      <c r="K55" s="557"/>
      <c r="L55" s="423"/>
    </row>
    <row r="56" spans="1:15" ht="40.5" hidden="1" customHeight="1" thickBot="1">
      <c r="A56" s="65" t="s">
        <v>69</v>
      </c>
      <c r="B56" s="66" t="s">
        <v>237</v>
      </c>
      <c r="C56" s="601"/>
      <c r="D56" s="254">
        <f>SUM(D57:D63)</f>
        <v>2986099.0430000001</v>
      </c>
      <c r="E56" s="254">
        <f t="shared" ref="E56:I56" si="15">SUM(E57:E63)</f>
        <v>248841.58691666668</v>
      </c>
      <c r="F56" s="434">
        <f t="shared" si="15"/>
        <v>7.4075428487085615</v>
      </c>
      <c r="G56" s="254">
        <f t="shared" si="15"/>
        <v>1663530.1206900002</v>
      </c>
      <c r="H56" s="291">
        <f>SUM(H57:H63)</f>
        <v>7.4061465259190395</v>
      </c>
      <c r="I56" s="291">
        <f t="shared" si="15"/>
        <v>1322568.9223099998</v>
      </c>
      <c r="J56" s="546">
        <f>SUM(J57:J63)</f>
        <v>7.4092998943984698</v>
      </c>
      <c r="K56" s="551"/>
      <c r="L56" s="179"/>
    </row>
    <row r="57" spans="1:15" ht="27.75" hidden="1" customHeight="1">
      <c r="A57" s="43" t="s">
        <v>70</v>
      </c>
      <c r="B57" s="44" t="s">
        <v>71</v>
      </c>
      <c r="C57" s="614" t="s">
        <v>72</v>
      </c>
      <c r="D57" s="57">
        <f>4830199.5*5%+0.02</f>
        <v>241509.995</v>
      </c>
      <c r="E57" s="46">
        <f t="shared" si="10"/>
        <v>20125.832916666666</v>
      </c>
      <c r="F57" s="435">
        <f>E57/F12</f>
        <v>0.59910793667331486</v>
      </c>
      <c r="G57" s="49">
        <f>D57*55.72%</f>
        <v>134569.36921400001</v>
      </c>
      <c r="H57" s="429">
        <f t="shared" si="11"/>
        <v>0.59911176473678485</v>
      </c>
      <c r="I57" s="323">
        <f>D57-G57</f>
        <v>106940.62578599999</v>
      </c>
      <c r="J57" s="545">
        <f t="shared" si="13"/>
        <v>0.59910311967650631</v>
      </c>
      <c r="K57" s="560"/>
      <c r="L57" s="424" t="s">
        <v>278</v>
      </c>
    </row>
    <row r="58" spans="1:15" ht="63.75" hidden="1" customHeight="1">
      <c r="A58" s="51" t="s">
        <v>73</v>
      </c>
      <c r="B58" s="63" t="s">
        <v>74</v>
      </c>
      <c r="C58" s="614" t="s">
        <v>75</v>
      </c>
      <c r="D58" s="61">
        <f>(33200+41165+10920+14368+34495)*12*1.302</f>
        <v>2095928.3520000002</v>
      </c>
      <c r="E58" s="46">
        <f>D58/12</f>
        <v>174660.69600000003</v>
      </c>
      <c r="F58" s="435">
        <f>E58/F12</f>
        <v>5.1993181912898532</v>
      </c>
      <c r="G58" s="49">
        <f>D58*55.72%</f>
        <v>1167851.2777344002</v>
      </c>
      <c r="H58" s="416">
        <f t="shared" si="11"/>
        <v>5.199351412882856</v>
      </c>
      <c r="I58" s="323">
        <f>D58-G58</f>
        <v>928077.07426559995</v>
      </c>
      <c r="J58" s="544">
        <f t="shared" si="13"/>
        <v>5.1992763873049599</v>
      </c>
      <c r="K58" s="558" t="s">
        <v>224</v>
      </c>
      <c r="L58" s="422" t="s">
        <v>274</v>
      </c>
      <c r="O58" s="337"/>
    </row>
    <row r="59" spans="1:15" s="10" customFormat="1" ht="29.25" hidden="1" customHeight="1">
      <c r="A59" s="321" t="s">
        <v>76</v>
      </c>
      <c r="B59" s="63" t="s">
        <v>77</v>
      </c>
      <c r="C59" s="615" t="s">
        <v>78</v>
      </c>
      <c r="D59" s="61">
        <v>60000</v>
      </c>
      <c r="E59" s="46">
        <f t="shared" si="10"/>
        <v>5000</v>
      </c>
      <c r="F59" s="322">
        <f>E59/F12</f>
        <v>0.14884053225374333</v>
      </c>
      <c r="G59" s="83">
        <f>D59*55.72%</f>
        <v>33432</v>
      </c>
      <c r="H59" s="416">
        <f t="shared" si="11"/>
        <v>0.14884148328605237</v>
      </c>
      <c r="I59" s="348">
        <f>D59-G59</f>
        <v>26568</v>
      </c>
      <c r="J59" s="544">
        <f t="shared" si="13"/>
        <v>0.14883933553387876</v>
      </c>
      <c r="K59" s="561"/>
      <c r="L59" s="430" t="s">
        <v>274</v>
      </c>
    </row>
    <row r="60" spans="1:15" s="10" customFormat="1" ht="19.5" hidden="1" customHeight="1">
      <c r="A60" s="321" t="s">
        <v>91</v>
      </c>
      <c r="B60" s="63" t="s">
        <v>264</v>
      </c>
      <c r="C60" s="615"/>
      <c r="D60" s="61">
        <f>G60+I60</f>
        <v>119000</v>
      </c>
      <c r="E60" s="46">
        <f t="shared" si="10"/>
        <v>9916.6666666666661</v>
      </c>
      <c r="F60" s="322">
        <f>E60/F12</f>
        <v>0.29520038896992429</v>
      </c>
      <c r="G60" s="83">
        <v>66000</v>
      </c>
      <c r="H60" s="416">
        <f t="shared" si="11"/>
        <v>0.2938363812179785</v>
      </c>
      <c r="I60" s="348">
        <v>53000</v>
      </c>
      <c r="J60" s="544">
        <f t="shared" si="13"/>
        <v>0.29691677142786715</v>
      </c>
      <c r="K60" s="561" t="s">
        <v>229</v>
      </c>
      <c r="L60" s="422" t="s">
        <v>274</v>
      </c>
    </row>
    <row r="61" spans="1:15" ht="45.75" hidden="1" customHeight="1">
      <c r="A61" s="51" t="s">
        <v>79</v>
      </c>
      <c r="B61" s="71" t="s">
        <v>258</v>
      </c>
      <c r="C61" s="616" t="s">
        <v>80</v>
      </c>
      <c r="D61" s="54">
        <v>100000</v>
      </c>
      <c r="E61" s="46">
        <f t="shared" si="10"/>
        <v>8333.3333333333339</v>
      </c>
      <c r="F61" s="435">
        <f>E61/F12</f>
        <v>0.24806755375623893</v>
      </c>
      <c r="G61" s="49">
        <f>D61*55.72%</f>
        <v>55720</v>
      </c>
      <c r="H61" s="416">
        <f t="shared" si="11"/>
        <v>0.2480691388100873</v>
      </c>
      <c r="I61" s="323">
        <f>D61-G61</f>
        <v>44280</v>
      </c>
      <c r="J61" s="544">
        <f t="shared" si="13"/>
        <v>0.24806555922313131</v>
      </c>
      <c r="K61" s="558"/>
      <c r="L61" s="422" t="s">
        <v>274</v>
      </c>
    </row>
    <row r="62" spans="1:15" ht="18" hidden="1" customHeight="1">
      <c r="A62" s="73" t="s">
        <v>81</v>
      </c>
      <c r="B62" s="344" t="s">
        <v>82</v>
      </c>
      <c r="C62" s="608" t="s">
        <v>83</v>
      </c>
      <c r="D62" s="827">
        <v>195000</v>
      </c>
      <c r="E62" s="218">
        <f t="shared" si="10"/>
        <v>16250</v>
      </c>
      <c r="F62" s="437">
        <f>E62/F12</f>
        <v>0.48373172982466583</v>
      </c>
      <c r="G62" s="428">
        <f>D62*55.72%</f>
        <v>108654</v>
      </c>
      <c r="H62" s="417">
        <f t="shared" si="11"/>
        <v>0.48373482067967027</v>
      </c>
      <c r="I62" s="412">
        <f>D62-G62</f>
        <v>86346</v>
      </c>
      <c r="J62" s="547">
        <f t="shared" si="13"/>
        <v>0.48372784048510603</v>
      </c>
      <c r="K62" s="558"/>
      <c r="L62" s="423" t="s">
        <v>274</v>
      </c>
    </row>
    <row r="63" spans="1:15" ht="35.1" customHeight="1" thickBot="1">
      <c r="A63" s="79" t="s">
        <v>395</v>
      </c>
      <c r="B63" s="728" t="s">
        <v>315</v>
      </c>
      <c r="C63" s="814"/>
      <c r="D63" s="847">
        <f>(33200+41165+10920+14368+34495)*1.302</f>
        <v>174660.696</v>
      </c>
      <c r="E63" s="224">
        <f>D63/12</f>
        <v>14555.057999999999</v>
      </c>
      <c r="F63" s="852">
        <f>E63/F12</f>
        <v>0.43327651594082095</v>
      </c>
      <c r="G63" s="856">
        <f>D63*55.71%</f>
        <v>97303.473741599999</v>
      </c>
      <c r="H63" s="858">
        <f t="shared" si="11"/>
        <v>0.43320152430561115</v>
      </c>
      <c r="I63" s="856">
        <f>D63-G63</f>
        <v>77357.222258399997</v>
      </c>
      <c r="J63" s="863">
        <f t="shared" si="13"/>
        <v>0.43337088074702024</v>
      </c>
      <c r="K63" s="566"/>
      <c r="L63" s="839" t="s">
        <v>331</v>
      </c>
    </row>
    <row r="64" spans="1:15" ht="23.25" hidden="1" customHeight="1" thickBot="1">
      <c r="A64" s="73" t="s">
        <v>84</v>
      </c>
      <c r="B64" s="817" t="s">
        <v>85</v>
      </c>
      <c r="C64" s="618"/>
      <c r="D64" s="31">
        <f>SUM(D65:D77)</f>
        <v>3981566</v>
      </c>
      <c r="E64" s="818">
        <f>SUM(E65:E77)</f>
        <v>331797.16666666663</v>
      </c>
      <c r="F64" s="32">
        <f>SUM(F66:F77)</f>
        <v>9.8769733773901311</v>
      </c>
      <c r="G64" s="31">
        <f>SUM(G65:G77)</f>
        <v>2307730.7379999999</v>
      </c>
      <c r="H64" s="819">
        <f>H65+H68+H70+H72+H73+H74+H75+H76+H77</f>
        <v>10.274170437566891</v>
      </c>
      <c r="I64" s="216">
        <f>SUM(I65:I77)</f>
        <v>1673835.2620000001</v>
      </c>
      <c r="J64" s="820">
        <f>J68+J70+J72+J73+J74+J75+J76+J77</f>
        <v>9.3771653187765693</v>
      </c>
      <c r="K64" s="562"/>
      <c r="L64" s="371"/>
    </row>
    <row r="65" spans="1:12" ht="22.5" hidden="1" customHeight="1" thickBot="1">
      <c r="A65" s="394"/>
      <c r="B65" s="505" t="s">
        <v>215</v>
      </c>
      <c r="C65" s="619"/>
      <c r="D65" s="347"/>
      <c r="E65" s="224"/>
      <c r="F65" s="483"/>
      <c r="G65" s="481"/>
      <c r="H65" s="433"/>
      <c r="I65" s="481"/>
      <c r="J65" s="393"/>
      <c r="K65" s="563"/>
      <c r="L65" s="463"/>
    </row>
    <row r="66" spans="1:12" ht="21" hidden="1" customHeight="1" thickBot="1">
      <c r="A66" s="92" t="s">
        <v>222</v>
      </c>
      <c r="B66" s="510" t="s">
        <v>270</v>
      </c>
      <c r="C66" s="620"/>
      <c r="D66" s="109"/>
      <c r="E66" s="480" t="s">
        <v>271</v>
      </c>
      <c r="F66" s="482"/>
      <c r="G66" s="396"/>
      <c r="H66" s="432"/>
      <c r="I66" s="396"/>
      <c r="J66" s="484"/>
      <c r="K66" s="564" t="s">
        <v>272</v>
      </c>
      <c r="L66" s="464" t="s">
        <v>274</v>
      </c>
    </row>
    <row r="67" spans="1:12" ht="22.5" hidden="1" customHeight="1">
      <c r="A67" s="73"/>
      <c r="B67" s="828" t="s">
        <v>53</v>
      </c>
      <c r="C67" s="621"/>
      <c r="D67" s="96"/>
      <c r="E67" s="324"/>
      <c r="F67" s="746"/>
      <c r="G67" s="829"/>
      <c r="H67" s="830"/>
      <c r="I67" s="831"/>
      <c r="J67" s="749"/>
      <c r="K67" s="565"/>
      <c r="L67" s="332"/>
    </row>
    <row r="68" spans="1:12" ht="35.1" customHeight="1" thickBot="1">
      <c r="A68" s="79" t="s">
        <v>165</v>
      </c>
      <c r="B68" s="840" t="s">
        <v>263</v>
      </c>
      <c r="C68" s="815"/>
      <c r="D68" s="848">
        <v>50002</v>
      </c>
      <c r="E68" s="224">
        <f t="shared" ref="E68:E77" si="16">D68/12</f>
        <v>4166.833333333333</v>
      </c>
      <c r="F68" s="853">
        <f>E68/F12</f>
        <v>0.12403873822919456</v>
      </c>
      <c r="G68" s="433"/>
      <c r="H68" s="858">
        <f t="shared" ref="H68:H97" si="17">G68/G$12/12</f>
        <v>0</v>
      </c>
      <c r="I68" s="433">
        <f>D68</f>
        <v>50002</v>
      </c>
      <c r="J68" s="863">
        <f t="shared" ref="J68:J97" si="18">I68/H$12/12</f>
        <v>0.28012136613087196</v>
      </c>
      <c r="K68" s="566"/>
      <c r="L68" s="839" t="s">
        <v>331</v>
      </c>
    </row>
    <row r="69" spans="1:12" ht="22.5" hidden="1" customHeight="1">
      <c r="A69" s="73"/>
      <c r="B69" s="828" t="s">
        <v>219</v>
      </c>
      <c r="C69" s="621"/>
      <c r="D69" s="96"/>
      <c r="E69" s="324"/>
      <c r="F69" s="832"/>
      <c r="G69" s="829"/>
      <c r="H69" s="833"/>
      <c r="I69" s="831"/>
      <c r="J69" s="834"/>
      <c r="K69" s="565"/>
      <c r="L69" s="371"/>
    </row>
    <row r="70" spans="1:12" s="10" customFormat="1" ht="35.1" customHeight="1" thickBot="1">
      <c r="A70" s="841" t="s">
        <v>167</v>
      </c>
      <c r="B70" s="840" t="s">
        <v>220</v>
      </c>
      <c r="C70" s="816"/>
      <c r="D70" s="848">
        <v>602000</v>
      </c>
      <c r="E70" s="224">
        <f t="shared" si="16"/>
        <v>50166.666666666664</v>
      </c>
      <c r="F70" s="853">
        <f>E70/F12</f>
        <v>1.4933666736125581</v>
      </c>
      <c r="G70" s="433">
        <v>100000</v>
      </c>
      <c r="H70" s="859">
        <f t="shared" si="17"/>
        <v>0.44520663820905831</v>
      </c>
      <c r="I70" s="433">
        <v>502000</v>
      </c>
      <c r="J70" s="864">
        <f t="shared" si="18"/>
        <v>2.8123060237130062</v>
      </c>
      <c r="K70" s="567" t="s">
        <v>86</v>
      </c>
      <c r="L70" s="839" t="s">
        <v>331</v>
      </c>
    </row>
    <row r="71" spans="1:12" ht="22.5" hidden="1" customHeight="1">
      <c r="A71" s="73"/>
      <c r="B71" s="828" t="s">
        <v>259</v>
      </c>
      <c r="C71" s="619"/>
      <c r="D71" s="96"/>
      <c r="E71" s="324"/>
      <c r="F71" s="832"/>
      <c r="G71" s="829"/>
      <c r="H71" s="835">
        <f>SUM(H72:H77)</f>
        <v>9.8289637993578332</v>
      </c>
      <c r="I71" s="836"/>
      <c r="J71" s="837">
        <f>SUM(J72:J77)</f>
        <v>6.2847379289326915</v>
      </c>
      <c r="K71" s="568"/>
      <c r="L71" s="371"/>
    </row>
    <row r="72" spans="1:12" ht="35.1" customHeight="1">
      <c r="A72" s="394" t="s">
        <v>169</v>
      </c>
      <c r="B72" s="842" t="s">
        <v>368</v>
      </c>
      <c r="C72" s="717"/>
      <c r="D72" s="849">
        <f>25000*4+25*1500*4+3*80000+15000+1000</f>
        <v>506000</v>
      </c>
      <c r="E72" s="347">
        <f t="shared" si="16"/>
        <v>42166.666666666664</v>
      </c>
      <c r="F72" s="854">
        <f>E72/F12</f>
        <v>1.2552218220065687</v>
      </c>
      <c r="G72" s="788">
        <f>25000*4+25*1500*4+3*80000+15000+1000</f>
        <v>506000</v>
      </c>
      <c r="H72" s="860">
        <f t="shared" si="17"/>
        <v>2.252745589337835</v>
      </c>
      <c r="I72" s="868"/>
      <c r="J72" s="865">
        <f t="shared" si="18"/>
        <v>0</v>
      </c>
      <c r="K72" s="569" t="s">
        <v>235</v>
      </c>
      <c r="L72" s="845" t="s">
        <v>331</v>
      </c>
    </row>
    <row r="73" spans="1:12" ht="35.1" customHeight="1">
      <c r="A73" s="51" t="s">
        <v>171</v>
      </c>
      <c r="B73" s="843" t="s">
        <v>336</v>
      </c>
      <c r="C73" s="717"/>
      <c r="D73" s="850">
        <f>286000</f>
        <v>286000</v>
      </c>
      <c r="E73" s="61">
        <f t="shared" si="16"/>
        <v>23833.333333333332</v>
      </c>
      <c r="F73" s="238">
        <f>E73/F12</f>
        <v>0.70947320374284317</v>
      </c>
      <c r="G73" s="439">
        <f>D73-I73</f>
        <v>214000</v>
      </c>
      <c r="H73" s="861">
        <f t="shared" si="17"/>
        <v>0.95274220576738478</v>
      </c>
      <c r="I73" s="272">
        <v>72000</v>
      </c>
      <c r="J73" s="866">
        <f t="shared" si="18"/>
        <v>0.40335863288314028</v>
      </c>
      <c r="K73" s="569" t="s">
        <v>234</v>
      </c>
      <c r="L73" s="742" t="s">
        <v>331</v>
      </c>
    </row>
    <row r="74" spans="1:12" ht="34.5" customHeight="1">
      <c r="A74" s="51" t="s">
        <v>401</v>
      </c>
      <c r="B74" s="843" t="s">
        <v>316</v>
      </c>
      <c r="C74" s="717"/>
      <c r="D74" s="850">
        <v>166800</v>
      </c>
      <c r="E74" s="61">
        <f t="shared" si="16"/>
        <v>13900</v>
      </c>
      <c r="F74" s="238">
        <f>E74/F12</f>
        <v>0.41377667966540649</v>
      </c>
      <c r="G74" s="439">
        <f>D74</f>
        <v>166800</v>
      </c>
      <c r="H74" s="861">
        <f t="shared" si="17"/>
        <v>0.74260467253270923</v>
      </c>
      <c r="I74" s="439"/>
      <c r="J74" s="866">
        <f t="shared" si="18"/>
        <v>0</v>
      </c>
      <c r="K74" s="570" t="s">
        <v>229</v>
      </c>
      <c r="L74" s="742" t="s">
        <v>331</v>
      </c>
    </row>
    <row r="75" spans="1:12" ht="50.1" customHeight="1" thickBot="1">
      <c r="A75" s="92" t="s">
        <v>173</v>
      </c>
      <c r="B75" s="844" t="s">
        <v>369</v>
      </c>
      <c r="C75" s="717" t="s">
        <v>80</v>
      </c>
      <c r="D75" s="851">
        <f>410000+31200</f>
        <v>441200</v>
      </c>
      <c r="E75" s="109">
        <f t="shared" si="16"/>
        <v>36766.666666666664</v>
      </c>
      <c r="F75" s="855">
        <f>E75/F12</f>
        <v>1.0944740471725261</v>
      </c>
      <c r="G75" s="857">
        <f>D75*55.71%</f>
        <v>245792.52000000002</v>
      </c>
      <c r="H75" s="862">
        <f t="shared" si="17"/>
        <v>1.0942846152613275</v>
      </c>
      <c r="I75" s="857">
        <f t="shared" ref="I75" si="19">D75-G75</f>
        <v>195407.47999999998</v>
      </c>
      <c r="J75" s="867">
        <f t="shared" si="18"/>
        <v>1.0947124164991608</v>
      </c>
      <c r="K75" s="570"/>
      <c r="L75" s="846" t="s">
        <v>331</v>
      </c>
    </row>
    <row r="76" spans="1:12" ht="27" hidden="1" customHeight="1">
      <c r="A76" s="73" t="s">
        <v>241</v>
      </c>
      <c r="B76" s="838" t="s">
        <v>217</v>
      </c>
      <c r="C76" s="610" t="s">
        <v>92</v>
      </c>
      <c r="D76" s="96">
        <f>(29000+24000+26000+35000)*12*1.302</f>
        <v>1781136</v>
      </c>
      <c r="E76" s="324">
        <f t="shared" si="16"/>
        <v>148428</v>
      </c>
      <c r="F76" s="832">
        <f>E76/F12</f>
        <v>4.4184205042717233</v>
      </c>
      <c r="G76" s="733">
        <f>D76*55.72%</f>
        <v>992448.97920000006</v>
      </c>
      <c r="H76" s="833">
        <f t="shared" si="17"/>
        <v>4.4184487362364369</v>
      </c>
      <c r="I76" s="732">
        <f>D76-G76</f>
        <v>788687.02079999994</v>
      </c>
      <c r="J76" s="834">
        <f t="shared" si="18"/>
        <v>4.4183849789245118</v>
      </c>
      <c r="K76" s="570" t="s">
        <v>218</v>
      </c>
      <c r="L76" s="371" t="s">
        <v>274</v>
      </c>
    </row>
    <row r="77" spans="1:12" ht="35.1" customHeight="1" thickBot="1">
      <c r="A77" s="79" t="s">
        <v>175</v>
      </c>
      <c r="B77" s="840" t="s">
        <v>277</v>
      </c>
      <c r="C77" s="816"/>
      <c r="D77" s="848">
        <f>(29000+24000+26000+35000)*1.302</f>
        <v>148428</v>
      </c>
      <c r="E77" s="224">
        <f t="shared" si="16"/>
        <v>12369</v>
      </c>
      <c r="F77" s="853">
        <f>E77/F12</f>
        <v>0.36820170868931029</v>
      </c>
      <c r="G77" s="856">
        <f>D77*55.71%</f>
        <v>82689.238800000006</v>
      </c>
      <c r="H77" s="858">
        <f t="shared" si="17"/>
        <v>0.36813798022214028</v>
      </c>
      <c r="I77" s="856">
        <f>D77-G77</f>
        <v>65738.761199999994</v>
      </c>
      <c r="J77" s="863">
        <f t="shared" si="18"/>
        <v>0.36828190062587818</v>
      </c>
      <c r="K77" s="566"/>
      <c r="L77" s="839" t="s">
        <v>331</v>
      </c>
    </row>
    <row r="78" spans="1:12" ht="46.5" hidden="1" customHeight="1" thickBot="1">
      <c r="A78" s="385">
        <v>2</v>
      </c>
      <c r="B78" s="386" t="s">
        <v>93</v>
      </c>
      <c r="C78" s="624"/>
      <c r="D78" s="387">
        <f>SUM(D80:D97)</f>
        <v>5277841.3000000007</v>
      </c>
      <c r="E78" s="387">
        <f>SUM(E80:E97)</f>
        <v>439820.10833333328</v>
      </c>
      <c r="F78" s="388">
        <f>SUM(F80:F97)</f>
        <v>13.092611804046475</v>
      </c>
      <c r="G78" s="387">
        <f>SUM(G80:G97)</f>
        <v>2940753.4943499998</v>
      </c>
      <c r="H78" s="389">
        <f>H80+H82+H83+H84+H86+H87+H88+H89+H90+H91+H93+H94+H95+H96+H97+H92</f>
        <v>13.092429770211048</v>
      </c>
      <c r="I78" s="390">
        <f>SUM(I80:I97)</f>
        <v>2337087.80565</v>
      </c>
      <c r="J78" s="391">
        <f>J80+J82+J83+J84+J86+J87+J88+J89+J90+J91+J93+J94+J95+J96+J97+J92</f>
        <v>13.092840864095033</v>
      </c>
      <c r="K78" s="571"/>
      <c r="L78" s="821"/>
    </row>
    <row r="79" spans="1:12" ht="17.25" hidden="1" customHeight="1">
      <c r="A79" s="394"/>
      <c r="B79" s="403" t="s">
        <v>94</v>
      </c>
      <c r="C79" s="625"/>
      <c r="D79" s="477"/>
      <c r="E79" s="441"/>
      <c r="F79" s="473" t="e">
        <f>E79/#REF!</f>
        <v>#REF!</v>
      </c>
      <c r="G79" s="471"/>
      <c r="H79" s="395"/>
      <c r="I79" s="468"/>
      <c r="J79" s="469"/>
      <c r="K79" s="568"/>
      <c r="L79" s="463"/>
    </row>
    <row r="80" spans="1:12" ht="16.5" hidden="1" customHeight="1" thickBot="1">
      <c r="A80" s="85" t="s">
        <v>242</v>
      </c>
      <c r="B80" s="232" t="s">
        <v>95</v>
      </c>
      <c r="C80" s="626" t="s">
        <v>96</v>
      </c>
      <c r="D80" s="122">
        <f>16000+9700+10000</f>
        <v>35700</v>
      </c>
      <c r="E80" s="356">
        <f t="shared" si="10"/>
        <v>2975</v>
      </c>
      <c r="F80" s="449">
        <f>E80/F12</f>
        <v>8.8560116690977284E-2</v>
      </c>
      <c r="G80" s="358">
        <f>D80*55.72%</f>
        <v>19892.04</v>
      </c>
      <c r="H80" s="404">
        <f t="shared" si="17"/>
        <v>8.8560682555201165E-2</v>
      </c>
      <c r="I80" s="428">
        <f>D80-G80</f>
        <v>15807.96</v>
      </c>
      <c r="J80" s="470">
        <f t="shared" si="18"/>
        <v>8.8559404642657866E-2</v>
      </c>
      <c r="K80" s="572"/>
      <c r="L80" s="467" t="s">
        <v>274</v>
      </c>
    </row>
    <row r="81" spans="1:12" ht="17.25" hidden="1" customHeight="1">
      <c r="A81" s="394"/>
      <c r="B81" s="501" t="s">
        <v>98</v>
      </c>
      <c r="C81" s="627"/>
      <c r="D81" s="478"/>
      <c r="E81" s="441"/>
      <c r="F81" s="446"/>
      <c r="G81" s="471">
        <f t="shared" ref="G81:G97" si="20">D81*55.72%</f>
        <v>0</v>
      </c>
      <c r="H81" s="395"/>
      <c r="I81" s="468"/>
      <c r="J81" s="469"/>
      <c r="K81" s="568"/>
      <c r="L81" s="463"/>
    </row>
    <row r="82" spans="1:12" ht="19.5" hidden="1" customHeight="1">
      <c r="A82" s="51" t="s">
        <v>97</v>
      </c>
      <c r="B82" s="499" t="s">
        <v>99</v>
      </c>
      <c r="C82" s="589" t="s">
        <v>100</v>
      </c>
      <c r="D82" s="61">
        <f>(60000*2+24000+13550)*12+75000*12</f>
        <v>2790600</v>
      </c>
      <c r="E82" s="336">
        <f t="shared" si="10"/>
        <v>232550</v>
      </c>
      <c r="F82" s="450">
        <f>E82/F12</f>
        <v>6.9225731551216025</v>
      </c>
      <c r="G82" s="350">
        <f t="shared" si="20"/>
        <v>1554922.32</v>
      </c>
      <c r="H82" s="382">
        <f t="shared" si="17"/>
        <v>6.9226173876342969</v>
      </c>
      <c r="I82" s="287">
        <f>D82-G82</f>
        <v>1235677.68</v>
      </c>
      <c r="J82" s="462">
        <f t="shared" si="18"/>
        <v>6.9225174956807018</v>
      </c>
      <c r="K82" s="570"/>
      <c r="L82" s="270" t="s">
        <v>274</v>
      </c>
    </row>
    <row r="83" spans="1:12" ht="21" hidden="1" customHeight="1">
      <c r="A83" s="85" t="s">
        <v>102</v>
      </c>
      <c r="B83" s="504" t="s">
        <v>101</v>
      </c>
      <c r="C83" s="589"/>
      <c r="D83" s="218">
        <f>D82*0.302</f>
        <v>842761.2</v>
      </c>
      <c r="E83" s="356">
        <f>D83/12</f>
        <v>70230.099999999991</v>
      </c>
      <c r="F83" s="449">
        <f>E83/F12</f>
        <v>2.0906170928467236</v>
      </c>
      <c r="G83" s="358">
        <f t="shared" si="20"/>
        <v>469586.54064000002</v>
      </c>
      <c r="H83" s="404">
        <f t="shared" si="17"/>
        <v>2.0906304510655578</v>
      </c>
      <c r="I83" s="428">
        <f>D83-G83</f>
        <v>373174.65935999993</v>
      </c>
      <c r="J83" s="470">
        <f t="shared" si="18"/>
        <v>2.0906002836955717</v>
      </c>
      <c r="K83" s="570"/>
      <c r="L83" s="467" t="s">
        <v>274</v>
      </c>
    </row>
    <row r="84" spans="1:12" ht="35.1" customHeight="1" thickBot="1">
      <c r="A84" s="79" t="s">
        <v>402</v>
      </c>
      <c r="B84" s="728" t="s">
        <v>302</v>
      </c>
      <c r="C84" s="804"/>
      <c r="D84" s="848">
        <f>(60000*2+24000+13550+75000)*1.302</f>
        <v>302780.10000000003</v>
      </c>
      <c r="E84" s="224">
        <f t="shared" ref="E84" si="21">D84/12</f>
        <v>25231.675000000003</v>
      </c>
      <c r="F84" s="853">
        <f>E84/F12</f>
        <v>0.75109918733069403</v>
      </c>
      <c r="G84" s="856">
        <f>D84*55.71%</f>
        <v>168678.79371000003</v>
      </c>
      <c r="H84" s="858">
        <f t="shared" si="17"/>
        <v>0.75096918684788372</v>
      </c>
      <c r="I84" s="856">
        <f t="shared" ref="I84" si="22">D84-G84</f>
        <v>134101.30629000001</v>
      </c>
      <c r="J84" s="863">
        <f t="shared" si="18"/>
        <v>0.75126277184691215</v>
      </c>
      <c r="K84" s="572"/>
      <c r="L84" s="839" t="s">
        <v>331</v>
      </c>
    </row>
    <row r="85" spans="1:12" ht="15.75" hidden="1" customHeight="1">
      <c r="A85" s="43"/>
      <c r="B85" s="805" t="s">
        <v>103</v>
      </c>
      <c r="C85" s="627"/>
      <c r="D85" s="57"/>
      <c r="E85" s="47"/>
      <c r="F85" s="448"/>
      <c r="G85" s="806">
        <f t="shared" si="20"/>
        <v>0</v>
      </c>
      <c r="H85" s="398"/>
      <c r="I85" s="807"/>
      <c r="J85" s="459"/>
      <c r="K85" s="568"/>
      <c r="L85" s="465"/>
    </row>
    <row r="86" spans="1:12" s="115" customFormat="1" ht="21" hidden="1" customHeight="1">
      <c r="A86" s="56" t="s">
        <v>243</v>
      </c>
      <c r="B86" s="502" t="s">
        <v>267</v>
      </c>
      <c r="C86" s="610" t="s">
        <v>104</v>
      </c>
      <c r="D86" s="61">
        <v>70000</v>
      </c>
      <c r="E86" s="336">
        <f t="shared" si="10"/>
        <v>5833.333333333333</v>
      </c>
      <c r="F86" s="450">
        <f>E86/F12</f>
        <v>0.17364728762936721</v>
      </c>
      <c r="G86" s="350">
        <f t="shared" si="20"/>
        <v>39004</v>
      </c>
      <c r="H86" s="382">
        <f t="shared" si="17"/>
        <v>0.17364839716706112</v>
      </c>
      <c r="I86" s="455">
        <f t="shared" ref="I86:I97" si="23">D86-G86</f>
        <v>30996</v>
      </c>
      <c r="J86" s="462">
        <f t="shared" si="18"/>
        <v>0.17364589145619191</v>
      </c>
      <c r="K86" s="573"/>
      <c r="L86" s="270" t="s">
        <v>274</v>
      </c>
    </row>
    <row r="87" spans="1:12" ht="24" hidden="1" customHeight="1">
      <c r="A87" s="51" t="s">
        <v>244</v>
      </c>
      <c r="B87" s="499" t="s">
        <v>105</v>
      </c>
      <c r="C87" s="589" t="s">
        <v>106</v>
      </c>
      <c r="D87" s="54">
        <v>70000</v>
      </c>
      <c r="E87" s="336">
        <f t="shared" si="10"/>
        <v>5833.333333333333</v>
      </c>
      <c r="F87" s="450">
        <f>E87/F12</f>
        <v>0.17364728762936721</v>
      </c>
      <c r="G87" s="350">
        <f t="shared" si="20"/>
        <v>39004</v>
      </c>
      <c r="H87" s="382">
        <f t="shared" si="17"/>
        <v>0.17364839716706112</v>
      </c>
      <c r="I87" s="287">
        <f t="shared" si="23"/>
        <v>30996</v>
      </c>
      <c r="J87" s="462">
        <f t="shared" si="18"/>
        <v>0.17364589145619191</v>
      </c>
      <c r="K87" s="570"/>
      <c r="L87" s="270" t="s">
        <v>274</v>
      </c>
    </row>
    <row r="88" spans="1:12" ht="19.5" hidden="1" customHeight="1">
      <c r="A88" s="51" t="s">
        <v>245</v>
      </c>
      <c r="B88" s="499" t="s">
        <v>107</v>
      </c>
      <c r="C88" s="589" t="s">
        <v>108</v>
      </c>
      <c r="D88" s="61">
        <v>90000</v>
      </c>
      <c r="E88" s="336">
        <f t="shared" si="10"/>
        <v>7500</v>
      </c>
      <c r="F88" s="450">
        <f>E88/F12</f>
        <v>0.22326079838061502</v>
      </c>
      <c r="G88" s="350">
        <f t="shared" si="20"/>
        <v>50148</v>
      </c>
      <c r="H88" s="382">
        <f t="shared" si="17"/>
        <v>0.22326222492907857</v>
      </c>
      <c r="I88" s="287">
        <f t="shared" si="23"/>
        <v>39852</v>
      </c>
      <c r="J88" s="462">
        <f t="shared" si="18"/>
        <v>0.22325900330081816</v>
      </c>
      <c r="K88" s="570"/>
      <c r="L88" s="270" t="s">
        <v>274</v>
      </c>
    </row>
    <row r="89" spans="1:12" ht="16.5" hidden="1" customHeight="1">
      <c r="A89" s="85" t="s">
        <v>246</v>
      </c>
      <c r="B89" s="504" t="s">
        <v>109</v>
      </c>
      <c r="C89" s="589" t="s">
        <v>110</v>
      </c>
      <c r="D89" s="122">
        <v>30000</v>
      </c>
      <c r="E89" s="356">
        <f t="shared" si="10"/>
        <v>2500</v>
      </c>
      <c r="F89" s="449">
        <f>E89/F12</f>
        <v>7.4420266126871665E-2</v>
      </c>
      <c r="G89" s="358">
        <f t="shared" si="20"/>
        <v>16716</v>
      </c>
      <c r="H89" s="404">
        <f t="shared" si="17"/>
        <v>7.4420741643026186E-2</v>
      </c>
      <c r="I89" s="428">
        <f t="shared" si="23"/>
        <v>13284</v>
      </c>
      <c r="J89" s="470">
        <f t="shared" si="18"/>
        <v>7.4419667766939382E-2</v>
      </c>
      <c r="K89" s="570"/>
      <c r="L89" s="467" t="s">
        <v>274</v>
      </c>
    </row>
    <row r="90" spans="1:12" ht="35.1" customHeight="1" thickBot="1">
      <c r="A90" s="79" t="s">
        <v>403</v>
      </c>
      <c r="B90" s="728" t="s">
        <v>412</v>
      </c>
      <c r="C90" s="770" t="s">
        <v>111</v>
      </c>
      <c r="D90" s="847">
        <f>52000+6000+(15000+56000)+25000</f>
        <v>154000</v>
      </c>
      <c r="E90" s="224">
        <f>D90/12</f>
        <v>12833.333333333334</v>
      </c>
      <c r="F90" s="853">
        <f>E90/F12</f>
        <v>0.38202403278460795</v>
      </c>
      <c r="G90" s="856">
        <f>D90*55.71%</f>
        <v>85793.400000000009</v>
      </c>
      <c r="H90" s="858">
        <f t="shared" si="17"/>
        <v>0.38195791194525031</v>
      </c>
      <c r="I90" s="856">
        <f t="shared" si="23"/>
        <v>68206.599999999991</v>
      </c>
      <c r="J90" s="863">
        <f t="shared" si="18"/>
        <v>0.38210723513343331</v>
      </c>
      <c r="K90" s="570"/>
      <c r="L90" s="839" t="s">
        <v>331</v>
      </c>
    </row>
    <row r="91" spans="1:12" ht="21.75" hidden="1" customHeight="1">
      <c r="A91" s="43" t="s">
        <v>248</v>
      </c>
      <c r="B91" s="808" t="s">
        <v>320</v>
      </c>
      <c r="C91" s="589"/>
      <c r="D91" s="57">
        <v>60000</v>
      </c>
      <c r="E91" s="47">
        <f t="shared" ref="E91:E92" si="24">D91/12</f>
        <v>5000</v>
      </c>
      <c r="F91" s="448">
        <f>E91/F12</f>
        <v>0.14884053225374333</v>
      </c>
      <c r="G91" s="806">
        <f t="shared" si="20"/>
        <v>33432</v>
      </c>
      <c r="H91" s="398">
        <f t="shared" si="17"/>
        <v>0.14884148328605237</v>
      </c>
      <c r="I91" s="807">
        <f t="shared" si="23"/>
        <v>26568</v>
      </c>
      <c r="J91" s="459">
        <f t="shared" si="18"/>
        <v>0.14883933553387876</v>
      </c>
      <c r="K91" s="570"/>
      <c r="L91" s="465" t="s">
        <v>274</v>
      </c>
    </row>
    <row r="92" spans="1:12" ht="21.75" hidden="1" customHeight="1">
      <c r="A92" s="51"/>
      <c r="B92" s="499" t="s">
        <v>330</v>
      </c>
      <c r="C92" s="589"/>
      <c r="D92" s="54">
        <v>47000</v>
      </c>
      <c r="E92" s="336">
        <f t="shared" si="24"/>
        <v>3916.6666666666665</v>
      </c>
      <c r="F92" s="450">
        <f>E92/F12</f>
        <v>0.11659175026543228</v>
      </c>
      <c r="G92" s="350">
        <f t="shared" si="20"/>
        <v>26188.400000000001</v>
      </c>
      <c r="H92" s="382">
        <f t="shared" si="17"/>
        <v>0.11659249524074104</v>
      </c>
      <c r="I92" s="287">
        <f t="shared" si="23"/>
        <v>20811.599999999999</v>
      </c>
      <c r="J92" s="462">
        <f t="shared" si="18"/>
        <v>0.1165908128348717</v>
      </c>
      <c r="K92" s="570"/>
      <c r="L92" s="270" t="s">
        <v>274</v>
      </c>
    </row>
    <row r="93" spans="1:12" ht="20.25" hidden="1" customHeight="1">
      <c r="A93" s="51" t="s">
        <v>249</v>
      </c>
      <c r="B93" s="499" t="s">
        <v>112</v>
      </c>
      <c r="C93" s="589"/>
      <c r="D93" s="54">
        <f>20000</f>
        <v>20000</v>
      </c>
      <c r="E93" s="336">
        <f t="shared" si="10"/>
        <v>1666.6666666666667</v>
      </c>
      <c r="F93" s="450">
        <f>E93/F12</f>
        <v>4.9613510751247779E-2</v>
      </c>
      <c r="G93" s="350">
        <f t="shared" si="20"/>
        <v>11144</v>
      </c>
      <c r="H93" s="382">
        <f t="shared" si="17"/>
        <v>4.9613827762017455E-2</v>
      </c>
      <c r="I93" s="287">
        <f t="shared" si="23"/>
        <v>8856</v>
      </c>
      <c r="J93" s="462">
        <f t="shared" si="18"/>
        <v>4.9613111844626266E-2</v>
      </c>
      <c r="K93" s="570"/>
      <c r="L93" s="270" t="s">
        <v>274</v>
      </c>
    </row>
    <row r="94" spans="1:12" ht="18" hidden="1" customHeight="1">
      <c r="A94" s="51" t="s">
        <v>250</v>
      </c>
      <c r="B94" s="499" t="s">
        <v>113</v>
      </c>
      <c r="C94" s="605" t="s">
        <v>344</v>
      </c>
      <c r="D94" s="54">
        <v>40000</v>
      </c>
      <c r="E94" s="336">
        <f t="shared" si="10"/>
        <v>3333.3333333333335</v>
      </c>
      <c r="F94" s="450">
        <f>E94/F12</f>
        <v>9.9227021502495558E-2</v>
      </c>
      <c r="G94" s="350">
        <f t="shared" si="20"/>
        <v>22288</v>
      </c>
      <c r="H94" s="382">
        <f t="shared" si="17"/>
        <v>9.9227655524034911E-2</v>
      </c>
      <c r="I94" s="287">
        <f t="shared" si="23"/>
        <v>17712</v>
      </c>
      <c r="J94" s="462">
        <f t="shared" si="18"/>
        <v>9.9226223689252532E-2</v>
      </c>
      <c r="K94" s="570"/>
      <c r="L94" s="270" t="s">
        <v>274</v>
      </c>
    </row>
    <row r="95" spans="1:12" ht="18.75" hidden="1" customHeight="1">
      <c r="A95" s="85" t="s">
        <v>251</v>
      </c>
      <c r="B95" s="504" t="s">
        <v>115</v>
      </c>
      <c r="C95" s="605" t="s">
        <v>116</v>
      </c>
      <c r="D95" s="122">
        <v>45000</v>
      </c>
      <c r="E95" s="356">
        <f t="shared" si="10"/>
        <v>3750</v>
      </c>
      <c r="F95" s="449">
        <f>E95/F12</f>
        <v>0.11163039919030751</v>
      </c>
      <c r="G95" s="358">
        <f t="shared" si="20"/>
        <v>25074</v>
      </c>
      <c r="H95" s="404">
        <f t="shared" si="17"/>
        <v>0.11163111246453929</v>
      </c>
      <c r="I95" s="428">
        <f t="shared" si="23"/>
        <v>19926</v>
      </c>
      <c r="J95" s="470">
        <f t="shared" si="18"/>
        <v>0.11162950165040908</v>
      </c>
      <c r="K95" s="570"/>
      <c r="L95" s="467" t="s">
        <v>274</v>
      </c>
    </row>
    <row r="96" spans="1:12" ht="35.1" customHeight="1" thickBot="1">
      <c r="A96" s="79" t="s">
        <v>404</v>
      </c>
      <c r="B96" s="728" t="s">
        <v>260</v>
      </c>
      <c r="C96" s="769" t="s">
        <v>117</v>
      </c>
      <c r="D96" s="847">
        <v>140000</v>
      </c>
      <c r="E96" s="224">
        <f t="shared" si="10"/>
        <v>11666.666666666666</v>
      </c>
      <c r="F96" s="853">
        <f>E96/F12</f>
        <v>0.34729457525873442</v>
      </c>
      <c r="G96" s="856">
        <f>D96*55.71%</f>
        <v>77994</v>
      </c>
      <c r="H96" s="858">
        <f t="shared" si="17"/>
        <v>0.34723446540477293</v>
      </c>
      <c r="I96" s="856">
        <f t="shared" si="23"/>
        <v>62006</v>
      </c>
      <c r="J96" s="863">
        <f t="shared" si="18"/>
        <v>0.34737021375766663</v>
      </c>
      <c r="K96" s="570"/>
      <c r="L96" s="839" t="s">
        <v>331</v>
      </c>
    </row>
    <row r="97" spans="1:12" ht="21" hidden="1" customHeight="1" thickBot="1">
      <c r="A97" s="726" t="s">
        <v>317</v>
      </c>
      <c r="B97" s="809" t="s">
        <v>118</v>
      </c>
      <c r="C97" s="629"/>
      <c r="D97" s="730">
        <v>540000</v>
      </c>
      <c r="E97" s="235">
        <f t="shared" si="10"/>
        <v>45000</v>
      </c>
      <c r="F97" s="810">
        <f>E97/F12</f>
        <v>1.33956479028369</v>
      </c>
      <c r="G97" s="811">
        <f t="shared" si="20"/>
        <v>300888</v>
      </c>
      <c r="H97" s="812">
        <f t="shared" si="17"/>
        <v>1.3395733495744713</v>
      </c>
      <c r="I97" s="376">
        <f t="shared" si="23"/>
        <v>239112</v>
      </c>
      <c r="J97" s="813">
        <f t="shared" si="18"/>
        <v>1.3395540198049092</v>
      </c>
      <c r="K97" s="566"/>
      <c r="L97" s="754" t="s">
        <v>274</v>
      </c>
    </row>
    <row r="98" spans="1:12" ht="39.75" hidden="1" customHeight="1" thickBot="1">
      <c r="A98" s="405"/>
      <c r="B98" s="406" t="s">
        <v>119</v>
      </c>
      <c r="C98" s="630"/>
      <c r="D98" s="479">
        <f>D78+D64+D56+D52+D48+D45+D27</f>
        <v>18749771.343000002</v>
      </c>
      <c r="E98" s="476">
        <f>E78+E64+E56+E52+E48+E45+E27</f>
        <v>1562480.9452499999</v>
      </c>
      <c r="F98" s="474">
        <f>F78+F64+F56+F52+F48+F45+F27</f>
        <v>46.512099105468408</v>
      </c>
      <c r="G98" s="472">
        <f>G78+G64+G56+G52+G48+G45+G27</f>
        <v>9946787.5310399998</v>
      </c>
      <c r="H98" s="407"/>
      <c r="I98" s="407">
        <f>I78+I64+I56+I52+I48+I45+I27</f>
        <v>8802983.8119600005</v>
      </c>
      <c r="J98" s="475"/>
      <c r="K98" s="574"/>
      <c r="L98" s="22"/>
    </row>
    <row r="99" spans="1:12" ht="20.25" hidden="1" customHeight="1">
      <c r="A99" s="7"/>
      <c r="B99" s="129"/>
      <c r="C99" s="594"/>
      <c r="D99" s="130"/>
      <c r="E99" s="130"/>
      <c r="F99" s="517">
        <f>F97+F95+F93+F89+F88+F87+F86+F83+F82+F80+F76+F61+F59+F58+F57+F52+F48+F45+F62+F94+F91+F92+F60</f>
        <v>29.396130510820708</v>
      </c>
      <c r="G99" s="131"/>
      <c r="H99" s="131"/>
      <c r="I99" s="130"/>
      <c r="J99" s="130"/>
    </row>
    <row r="100" spans="1:12" ht="32.25" customHeight="1">
      <c r="A100" s="7"/>
      <c r="B100" s="129"/>
      <c r="C100" s="594"/>
      <c r="D100" s="130"/>
      <c r="E100" s="130"/>
      <c r="F100" s="130"/>
      <c r="G100" s="131"/>
      <c r="H100" s="131"/>
      <c r="I100" s="130"/>
      <c r="J100" s="130"/>
    </row>
    <row r="101" spans="1:12" ht="7.5" customHeight="1">
      <c r="C101" s="593"/>
      <c r="D101" s="9"/>
      <c r="E101" s="10"/>
      <c r="F101" s="4"/>
      <c r="G101" s="132"/>
      <c r="H101" s="132"/>
    </row>
    <row r="102" spans="1:12" ht="48" hidden="1" thickBot="1">
      <c r="A102" s="133" t="s">
        <v>120</v>
      </c>
      <c r="B102" s="134" t="s">
        <v>121</v>
      </c>
      <c r="C102" s="631"/>
      <c r="D102" s="136">
        <f>D104+D108+D114</f>
        <v>10480740.687000001</v>
      </c>
      <c r="E102" s="136">
        <f>SUM(E104:E121)</f>
        <v>0</v>
      </c>
      <c r="F102" s="136"/>
      <c r="G102" s="136">
        <f>SUM(G104:G121)</f>
        <v>10737461.792365</v>
      </c>
      <c r="H102" s="136"/>
      <c r="I102" s="136">
        <f>SUM(I104:I121)</f>
        <v>9775374.5543750003</v>
      </c>
      <c r="J102" s="365"/>
    </row>
    <row r="103" spans="1:12" ht="15.75" hidden="1">
      <c r="A103" s="137"/>
      <c r="B103" s="138"/>
      <c r="C103" s="632"/>
      <c r="D103" s="140"/>
      <c r="E103" s="140"/>
      <c r="F103" s="140"/>
      <c r="G103" s="140"/>
      <c r="H103" s="140"/>
      <c r="I103" s="140"/>
      <c r="J103" s="140"/>
    </row>
    <row r="104" spans="1:12" ht="24.75" hidden="1">
      <c r="A104" s="73"/>
      <c r="B104" s="141" t="s">
        <v>122</v>
      </c>
      <c r="C104" s="614" t="s">
        <v>123</v>
      </c>
      <c r="D104" s="143">
        <f>G104+I104</f>
        <v>4830199.5</v>
      </c>
      <c r="E104" s="144"/>
      <c r="F104" s="143"/>
      <c r="G104" s="145">
        <v>2685592</v>
      </c>
      <c r="H104" s="145"/>
      <c r="I104" s="145">
        <v>2144607.5</v>
      </c>
      <c r="J104" s="366"/>
    </row>
    <row r="105" spans="1:12" hidden="1">
      <c r="A105" s="73"/>
      <c r="B105" s="58" t="s">
        <v>124</v>
      </c>
      <c r="C105" s="614"/>
      <c r="D105" s="143">
        <v>1839000</v>
      </c>
      <c r="E105" s="144"/>
      <c r="F105" s="143"/>
      <c r="G105" s="145"/>
      <c r="H105" s="145"/>
      <c r="I105" s="145"/>
      <c r="J105" s="366"/>
    </row>
    <row r="106" spans="1:12" hidden="1">
      <c r="A106" s="73"/>
      <c r="B106" s="58" t="s">
        <v>125</v>
      </c>
      <c r="C106" s="614"/>
      <c r="D106" s="143">
        <v>1631000</v>
      </c>
      <c r="E106" s="144"/>
      <c r="F106" s="143"/>
      <c r="G106" s="143">
        <f>24989*1.103*33.765</f>
        <v>930660.20425499999</v>
      </c>
      <c r="H106" s="143"/>
      <c r="I106" s="143">
        <f>33.765*1.103*20902</f>
        <v>778448.90109000006</v>
      </c>
      <c r="J106" s="367"/>
    </row>
    <row r="107" spans="1:12" hidden="1">
      <c r="A107" s="73"/>
      <c r="B107" s="58" t="s">
        <v>126</v>
      </c>
      <c r="C107" s="633"/>
      <c r="D107" s="143">
        <f>D104-D105-D106</f>
        <v>1360199.5</v>
      </c>
      <c r="E107" s="144"/>
      <c r="F107" s="143"/>
      <c r="G107" s="143">
        <f>15338*1.103*33.765+37000</f>
        <v>608229.98970999999</v>
      </c>
      <c r="H107" s="143"/>
      <c r="I107" s="143">
        <f>12543*1.103*33.765+37000</f>
        <v>504136.37768500001</v>
      </c>
      <c r="J107" s="367"/>
    </row>
    <row r="108" spans="1:12" ht="36.75" hidden="1">
      <c r="A108" s="85"/>
      <c r="B108" s="147" t="s">
        <v>127</v>
      </c>
      <c r="C108" s="634" t="s">
        <v>128</v>
      </c>
      <c r="D108" s="143">
        <f t="shared" ref="D108:D113" si="25">G108+I108</f>
        <v>4963466.7870000005</v>
      </c>
      <c r="E108" s="144"/>
      <c r="F108" s="143"/>
      <c r="G108" s="143">
        <f>560182*4.593</f>
        <v>2572915.926</v>
      </c>
      <c r="H108" s="143"/>
      <c r="I108" s="143">
        <f>520477*4.593</f>
        <v>2390550.861</v>
      </c>
      <c r="J108" s="367"/>
    </row>
    <row r="109" spans="1:12" hidden="1">
      <c r="A109" s="85"/>
      <c r="B109" s="149" t="s">
        <v>129</v>
      </c>
      <c r="C109" s="634"/>
      <c r="D109" s="143">
        <f t="shared" si="25"/>
        <v>4189762.1579999998</v>
      </c>
      <c r="E109" s="144"/>
      <c r="F109" s="150"/>
      <c r="G109" s="143">
        <f>434933*4.593</f>
        <v>1997647.2690000001</v>
      </c>
      <c r="H109" s="143"/>
      <c r="I109" s="143">
        <f>477273*4.593</f>
        <v>2192114.889</v>
      </c>
      <c r="J109" s="367"/>
    </row>
    <row r="110" spans="1:12" hidden="1">
      <c r="A110" s="85"/>
      <c r="B110" s="149" t="s">
        <v>130</v>
      </c>
      <c r="C110" s="634"/>
      <c r="D110" s="143">
        <f t="shared" si="25"/>
        <v>773704.62899999996</v>
      </c>
      <c r="E110" s="144"/>
      <c r="F110" s="151"/>
      <c r="G110" s="143">
        <f>82909*4.593</f>
        <v>380801.03700000001</v>
      </c>
      <c r="H110" s="143"/>
      <c r="I110" s="143">
        <f>85544*4.593</f>
        <v>392903.592</v>
      </c>
      <c r="J110" s="367"/>
    </row>
    <row r="111" spans="1:12" ht="15.75" hidden="1">
      <c r="A111" s="85"/>
      <c r="B111" s="147" t="s">
        <v>131</v>
      </c>
      <c r="C111" s="635" t="s">
        <v>132</v>
      </c>
      <c r="D111" s="153">
        <f t="shared" si="25"/>
        <v>77019</v>
      </c>
      <c r="E111" s="144"/>
      <c r="F111" s="143"/>
      <c r="G111" s="143">
        <f>G112+G113</f>
        <v>41227</v>
      </c>
      <c r="H111" s="143"/>
      <c r="I111" s="143">
        <f>I112+I113</f>
        <v>35792</v>
      </c>
      <c r="J111" s="367"/>
    </row>
    <row r="112" spans="1:12" hidden="1">
      <c r="A112" s="85"/>
      <c r="B112" s="149" t="s">
        <v>133</v>
      </c>
      <c r="C112" s="240"/>
      <c r="D112" s="153">
        <f t="shared" si="25"/>
        <v>65013.287183098459</v>
      </c>
      <c r="E112" s="144"/>
      <c r="F112" s="143"/>
      <c r="G112" s="143">
        <v>34800.540005681716</v>
      </c>
      <c r="H112" s="143"/>
      <c r="I112" s="143">
        <v>30212.747177416742</v>
      </c>
      <c r="J112" s="367"/>
    </row>
    <row r="113" spans="1:10" hidden="1">
      <c r="A113" s="85"/>
      <c r="B113" s="149" t="s">
        <v>134</v>
      </c>
      <c r="C113" s="240"/>
      <c r="D113" s="153">
        <f t="shared" si="25"/>
        <v>12005.71281690154</v>
      </c>
      <c r="E113" s="144"/>
      <c r="F113" s="143"/>
      <c r="G113" s="143">
        <v>6426.459994318282</v>
      </c>
      <c r="H113" s="143"/>
      <c r="I113" s="143">
        <v>5579.2528225832575</v>
      </c>
      <c r="J113" s="367"/>
    </row>
    <row r="114" spans="1:10" ht="24.75" hidden="1">
      <c r="A114" s="85"/>
      <c r="B114" s="147" t="s">
        <v>135</v>
      </c>
      <c r="C114" s="634" t="s">
        <v>136</v>
      </c>
      <c r="D114" s="143">
        <f>D116+D115</f>
        <v>687074.39999999991</v>
      </c>
      <c r="E114" s="144"/>
      <c r="F114" s="143"/>
      <c r="G114" s="145">
        <f>D114*0.556</f>
        <v>382013.3664</v>
      </c>
      <c r="H114" s="145"/>
      <c r="I114" s="145">
        <f>D114*0.444</f>
        <v>305061.03359999997</v>
      </c>
      <c r="J114" s="366"/>
    </row>
    <row r="115" spans="1:10" hidden="1">
      <c r="A115" s="85"/>
      <c r="B115" s="149" t="s">
        <v>137</v>
      </c>
      <c r="C115" s="634"/>
      <c r="D115" s="143">
        <f>G115+I115</f>
        <v>280195.19999999995</v>
      </c>
      <c r="E115" s="144"/>
      <c r="F115" s="143"/>
      <c r="G115" s="143">
        <v>109295.99999999999</v>
      </c>
      <c r="H115" s="143"/>
      <c r="I115" s="143">
        <v>170899.19999999995</v>
      </c>
      <c r="J115" s="367"/>
    </row>
    <row r="116" spans="1:10" hidden="1">
      <c r="A116" s="85"/>
      <c r="B116" s="149" t="s">
        <v>133</v>
      </c>
      <c r="C116" s="634"/>
      <c r="D116" s="143">
        <f>G116+I116</f>
        <v>406879.19999999995</v>
      </c>
      <c r="E116" s="144"/>
      <c r="F116" s="143"/>
      <c r="G116" s="143">
        <v>214451.99999999997</v>
      </c>
      <c r="H116" s="143"/>
      <c r="I116" s="143">
        <v>192427.2</v>
      </c>
      <c r="J116" s="367"/>
    </row>
    <row r="117" spans="1:10" ht="18.75" hidden="1">
      <c r="A117" s="85"/>
      <c r="B117" s="154" t="s">
        <v>138</v>
      </c>
      <c r="C117" s="636"/>
      <c r="D117" s="156"/>
      <c r="E117" s="157"/>
      <c r="F117" s="158">
        <f>(D109+D112+D116)/F10/12</f>
        <v>12.164129924157995</v>
      </c>
      <c r="G117" s="143"/>
      <c r="H117" s="143"/>
      <c r="I117" s="143"/>
      <c r="J117" s="367"/>
    </row>
    <row r="118" spans="1:10" ht="18.75" hidden="1">
      <c r="A118" s="85"/>
      <c r="B118" s="154" t="s">
        <v>139</v>
      </c>
      <c r="C118" s="636"/>
      <c r="D118" s="156"/>
      <c r="E118" s="157"/>
      <c r="F118" s="158">
        <f>(D110+D113+D115)/27881</f>
        <v>38.230534837950628</v>
      </c>
      <c r="G118" s="143"/>
      <c r="H118" s="143"/>
      <c r="I118" s="143"/>
      <c r="J118" s="367"/>
    </row>
    <row r="119" spans="1:10" ht="48.75" hidden="1">
      <c r="A119" s="85"/>
      <c r="B119" s="149" t="s">
        <v>140</v>
      </c>
      <c r="C119" s="634" t="s">
        <v>141</v>
      </c>
      <c r="D119" s="143">
        <f>G119+I119</f>
        <v>1140312</v>
      </c>
      <c r="E119" s="144"/>
      <c r="F119" s="143"/>
      <c r="G119" s="143">
        <f>438000+197700</f>
        <v>635700</v>
      </c>
      <c r="H119" s="143"/>
      <c r="I119" s="143">
        <f>157872+346740</f>
        <v>504612</v>
      </c>
      <c r="J119" s="367"/>
    </row>
    <row r="120" spans="1:10" hidden="1">
      <c r="A120" s="159"/>
      <c r="B120" s="160" t="s">
        <v>142</v>
      </c>
      <c r="C120" s="607" t="s">
        <v>143</v>
      </c>
      <c r="D120" s="143">
        <f>G120+I120</f>
        <v>265729</v>
      </c>
      <c r="E120" s="144"/>
      <c r="F120" s="143"/>
      <c r="G120" s="143">
        <v>137700</v>
      </c>
      <c r="H120" s="143"/>
      <c r="I120" s="143">
        <v>128029</v>
      </c>
      <c r="J120" s="367"/>
    </row>
    <row r="121" spans="1:10" hidden="1">
      <c r="A121" s="60"/>
      <c r="B121" s="50"/>
      <c r="C121" s="637"/>
      <c r="D121" s="9">
        <f>D98+D102+D119+D120</f>
        <v>30636553.030000001</v>
      </c>
      <c r="E121" s="163"/>
      <c r="F121" s="4"/>
    </row>
    <row r="122" spans="1:10" hidden="1">
      <c r="B122" s="7" t="s">
        <v>144</v>
      </c>
    </row>
    <row r="123" spans="1:10" hidden="1">
      <c r="B123" t="s">
        <v>145</v>
      </c>
      <c r="D123" s="3">
        <f>F117*F12*12</f>
        <v>4903555.3985068742</v>
      </c>
    </row>
    <row r="124" spans="1:10" hidden="1">
      <c r="B124" t="s">
        <v>146</v>
      </c>
      <c r="D124" s="3">
        <f>F118*27881+1242*0.3717</f>
        <v>1066367.1932169015</v>
      </c>
    </row>
    <row r="125" spans="1:10" hidden="1">
      <c r="B125" s="7" t="s">
        <v>147</v>
      </c>
      <c r="D125" s="3"/>
    </row>
    <row r="126" spans="1:10" hidden="1">
      <c r="B126" t="s">
        <v>145</v>
      </c>
      <c r="D126" s="3">
        <f>D109+D112+D116</f>
        <v>4661654.6451830985</v>
      </c>
    </row>
    <row r="127" spans="1:10" hidden="1">
      <c r="B127" t="s">
        <v>146</v>
      </c>
      <c r="D127" s="3">
        <f>D110+D113+D115</f>
        <v>1065905.5418169014</v>
      </c>
    </row>
    <row r="128" spans="1:10" hidden="1"/>
    <row r="129" spans="1:21" hidden="1">
      <c r="B129" s="7" t="s">
        <v>148</v>
      </c>
      <c r="I129" s="164"/>
      <c r="J129" s="164"/>
    </row>
    <row r="130" spans="1:21" hidden="1">
      <c r="B130" t="s">
        <v>149</v>
      </c>
      <c r="I130" s="5">
        <f>24700*12</f>
        <v>296400</v>
      </c>
    </row>
    <row r="131" spans="1:21" hidden="1">
      <c r="B131" t="s">
        <v>150</v>
      </c>
      <c r="I131" s="5">
        <f>I130*0.302</f>
        <v>89512.8</v>
      </c>
      <c r="K131" s="548">
        <f>SUM(I130:I131)</f>
        <v>385912.8</v>
      </c>
    </row>
    <row r="132" spans="1:21" hidden="1">
      <c r="B132" t="s">
        <v>151</v>
      </c>
    </row>
    <row r="134" spans="1:21" s="764" customFormat="1" ht="12" customHeight="1">
      <c r="C134" s="548"/>
      <c r="F134" s="765">
        <f>F97+F95+F94+F93+F92+F91+F89+F88+F87+F86+F83+F82+F80+F76+F62+F61+F60+F59+F58+F57+F52+F48+F45</f>
        <v>29.396130510820704</v>
      </c>
      <c r="G134" s="766"/>
      <c r="H134" s="765">
        <f>H97+H95+H94+H93+H92+H91+H89+H88+H87+H86+H83+H82+H80+H76+H62+H61+H60+H59+H58+H57+H52+H48+H45</f>
        <v>29.393679155551641</v>
      </c>
      <c r="I134" s="766"/>
      <c r="J134" s="765">
        <f>J97+J95+J94+J93+J92+J91+J89+J88+J87+J86+J83+J82+J80+J76+J62+J61+J60+J59+J58+J57+J52+J48+J45</f>
        <v>29.399215143716685</v>
      </c>
      <c r="K134" s="548"/>
    </row>
    <row r="135" spans="1:21" ht="12" customHeight="1">
      <c r="F135" s="4"/>
      <c r="H135" s="4"/>
      <c r="J135" s="4"/>
    </row>
    <row r="136" spans="1:21" ht="12" customHeight="1" thickBot="1">
      <c r="A136" s="709"/>
      <c r="B136" s="709"/>
      <c r="C136" s="672"/>
      <c r="D136" s="709"/>
      <c r="E136" s="709"/>
      <c r="F136" s="709"/>
      <c r="G136" s="709"/>
      <c r="H136" s="709"/>
      <c r="I136" s="709"/>
      <c r="J136" s="488"/>
      <c r="K136" s="980"/>
      <c r="L136" s="981"/>
      <c r="M136" s="981"/>
      <c r="N136" s="514"/>
      <c r="O136" s="343"/>
      <c r="P136" s="343"/>
      <c r="Q136" s="343"/>
      <c r="R136" s="343"/>
      <c r="S136" s="343"/>
      <c r="T136" s="343"/>
      <c r="U136" s="343"/>
    </row>
    <row r="137" spans="1:21" ht="12" customHeight="1">
      <c r="A137" s="343"/>
      <c r="B137" s="343"/>
      <c r="C137" s="690"/>
      <c r="D137" s="674"/>
      <c r="E137" s="674"/>
      <c r="I137" s="490"/>
      <c r="J137" s="490"/>
      <c r="K137" s="575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</row>
    <row r="138" spans="1:21" ht="12" customHeight="1">
      <c r="A138" s="343"/>
      <c r="B138" s="496"/>
      <c r="C138" s="635"/>
      <c r="D138" s="674"/>
      <c r="E138" s="667"/>
      <c r="I138" s="491"/>
      <c r="J138" s="491"/>
      <c r="K138" s="576"/>
      <c r="L138" s="343"/>
      <c r="M138" s="514"/>
      <c r="N138" s="514"/>
      <c r="O138" s="343"/>
      <c r="P138" s="343"/>
      <c r="Q138" s="343"/>
      <c r="R138" s="343"/>
      <c r="S138" s="343"/>
      <c r="T138" s="343"/>
      <c r="U138" s="343"/>
    </row>
    <row r="139" spans="1:21" ht="12" customHeight="1">
      <c r="A139" s="343"/>
      <c r="B139" s="343"/>
      <c r="C139" s="635"/>
      <c r="D139" s="703"/>
      <c r="E139" s="343"/>
      <c r="I139" s="491"/>
      <c r="J139" s="491"/>
      <c r="K139" s="577"/>
      <c r="L139" s="492"/>
      <c r="M139" s="492"/>
      <c r="N139" s="492"/>
      <c r="O139" s="343"/>
      <c r="P139" s="343"/>
      <c r="Q139" s="343"/>
      <c r="R139" s="343"/>
      <c r="S139" s="343"/>
      <c r="T139" s="343"/>
      <c r="U139" s="343"/>
    </row>
    <row r="140" spans="1:21" ht="12" customHeight="1">
      <c r="A140" s="343"/>
      <c r="B140" s="343"/>
      <c r="C140" s="635"/>
      <c r="D140" s="703"/>
      <c r="E140" s="343"/>
      <c r="I140" s="493"/>
      <c r="J140" s="493"/>
      <c r="K140" s="577"/>
      <c r="L140" s="492"/>
      <c r="M140" s="492"/>
      <c r="N140" s="492"/>
      <c r="O140" s="343"/>
      <c r="P140" s="343"/>
      <c r="Q140" s="343"/>
      <c r="R140" s="343"/>
      <c r="S140" s="343"/>
      <c r="T140" s="343"/>
      <c r="U140" s="343"/>
    </row>
    <row r="141" spans="1:21" ht="12" customHeight="1">
      <c r="A141" s="343"/>
      <c r="B141" s="343"/>
      <c r="C141" s="635"/>
      <c r="D141" s="703"/>
      <c r="E141" s="343"/>
      <c r="I141" s="493"/>
      <c r="J141" s="493"/>
      <c r="K141" s="577"/>
      <c r="L141" s="492"/>
      <c r="M141" s="492"/>
      <c r="N141" s="492"/>
      <c r="O141" s="343"/>
      <c r="P141" s="343"/>
      <c r="Q141" s="343"/>
      <c r="R141" s="343"/>
      <c r="S141" s="343"/>
      <c r="T141" s="343"/>
      <c r="U141" s="343"/>
    </row>
    <row r="142" spans="1:21" ht="12" customHeight="1">
      <c r="A142" s="343"/>
      <c r="B142" s="343"/>
      <c r="C142" s="635"/>
      <c r="D142" s="703"/>
      <c r="E142" s="343"/>
      <c r="I142" s="491"/>
      <c r="J142" s="491"/>
      <c r="K142" s="577"/>
      <c r="L142" s="492"/>
      <c r="M142" s="492"/>
      <c r="N142" s="492"/>
      <c r="O142" s="343"/>
      <c r="P142" s="343"/>
      <c r="Q142" s="343"/>
      <c r="R142" s="343"/>
      <c r="S142" s="343"/>
      <c r="T142" s="343"/>
      <c r="U142" s="343"/>
    </row>
    <row r="143" spans="1:21" ht="12" customHeight="1" thickBot="1">
      <c r="A143" s="343"/>
      <c r="B143" s="343"/>
      <c r="C143" s="691"/>
      <c r="D143" s="703"/>
      <c r="E143" s="343"/>
      <c r="I143" s="491"/>
      <c r="J143" s="491"/>
      <c r="K143" s="577"/>
      <c r="L143" s="492"/>
      <c r="M143" s="492"/>
      <c r="N143" s="492"/>
      <c r="O143" s="343"/>
      <c r="P143" s="343"/>
      <c r="Q143" s="343"/>
      <c r="R143" s="343"/>
      <c r="S143" s="343"/>
      <c r="T143" s="343"/>
      <c r="U143" s="343"/>
    </row>
    <row r="144" spans="1:21" ht="12" customHeight="1" thickBot="1">
      <c r="A144" s="994"/>
      <c r="B144" s="994"/>
      <c r="C144" s="549"/>
      <c r="D144" s="703"/>
      <c r="E144" s="343"/>
      <c r="I144" s="491"/>
      <c r="J144" s="491"/>
      <c r="K144" s="577"/>
      <c r="L144" s="492"/>
      <c r="M144" s="492"/>
      <c r="N144" s="492"/>
      <c r="O144" s="343"/>
      <c r="P144" s="343"/>
      <c r="Q144" s="343"/>
      <c r="R144" s="343"/>
      <c r="S144" s="343"/>
      <c r="T144" s="343"/>
      <c r="U144" s="343"/>
    </row>
    <row r="145" spans="1:21" ht="12" customHeight="1">
      <c r="A145" s="994"/>
      <c r="B145" s="994"/>
      <c r="C145" s="692"/>
      <c r="D145" s="703"/>
      <c r="E145" s="343"/>
      <c r="I145" s="491"/>
      <c r="J145" s="491"/>
      <c r="K145" s="577"/>
      <c r="L145" s="492"/>
      <c r="M145" s="492"/>
      <c r="N145" s="492"/>
      <c r="O145" s="343"/>
      <c r="P145" s="343"/>
      <c r="Q145" s="343"/>
      <c r="R145" s="343"/>
      <c r="S145" s="343"/>
      <c r="T145" s="343"/>
      <c r="U145" s="343"/>
    </row>
    <row r="146" spans="1:21" ht="12" customHeight="1">
      <c r="A146" s="991"/>
      <c r="B146" s="991"/>
      <c r="C146" s="635"/>
      <c r="D146" s="704"/>
      <c r="E146" s="343"/>
      <c r="I146" s="491"/>
      <c r="J146" s="491"/>
      <c r="K146" s="577"/>
      <c r="L146" s="492"/>
      <c r="M146" s="492"/>
      <c r="N146" s="492"/>
      <c r="O146" s="343"/>
      <c r="P146" s="343"/>
      <c r="Q146" s="343"/>
      <c r="R146" s="343"/>
      <c r="S146" s="343"/>
      <c r="T146" s="343"/>
      <c r="U146" s="343"/>
    </row>
    <row r="147" spans="1:21" ht="12" customHeight="1" thickBot="1">
      <c r="A147" s="991"/>
      <c r="B147" s="991"/>
      <c r="C147" s="693"/>
      <c r="D147" s="704"/>
      <c r="E147" s="343"/>
      <c r="I147" s="491"/>
      <c r="J147" s="491"/>
      <c r="K147" s="577"/>
      <c r="L147" s="492"/>
      <c r="M147" s="492"/>
      <c r="N147" s="492"/>
      <c r="O147" s="343"/>
      <c r="P147" s="343"/>
      <c r="Q147" s="343"/>
      <c r="R147" s="343"/>
      <c r="S147" s="343"/>
      <c r="T147" s="343"/>
      <c r="U147" s="343"/>
    </row>
    <row r="148" spans="1:21" ht="15.75" thickBot="1">
      <c r="A148" s="343"/>
      <c r="B148" s="343"/>
      <c r="D148" s="343"/>
      <c r="E148" s="492"/>
      <c r="I148" s="491"/>
      <c r="J148" s="491"/>
      <c r="K148" s="577"/>
      <c r="L148" s="492"/>
      <c r="M148" s="492"/>
      <c r="N148" s="492"/>
      <c r="O148" s="343"/>
      <c r="P148" s="343"/>
      <c r="Q148" s="343"/>
      <c r="R148" s="343"/>
      <c r="S148" s="343"/>
      <c r="T148" s="343"/>
      <c r="U148" s="343"/>
    </row>
    <row r="149" spans="1:21" ht="15.75">
      <c r="A149" s="343"/>
      <c r="B149" s="343"/>
      <c r="C149" s="690"/>
      <c r="D149" s="492"/>
      <c r="E149" s="492"/>
      <c r="I149" s="494"/>
      <c r="J149" s="494"/>
      <c r="K149" s="578"/>
      <c r="L149" s="341"/>
      <c r="M149" s="341"/>
      <c r="N149" s="341"/>
      <c r="O149" s="343"/>
      <c r="P149" s="343"/>
      <c r="Q149" s="343"/>
      <c r="R149" s="343"/>
      <c r="S149" s="343"/>
      <c r="T149" s="343"/>
      <c r="U149" s="343"/>
    </row>
    <row r="150" spans="1:21" ht="15.75">
      <c r="A150" s="343"/>
      <c r="B150" s="528"/>
      <c r="C150" s="575"/>
      <c r="D150" s="992"/>
      <c r="E150" s="993"/>
      <c r="I150" s="493"/>
      <c r="J150" s="493"/>
      <c r="K150" s="579"/>
      <c r="L150" s="495"/>
      <c r="M150" s="495"/>
      <c r="N150" s="495"/>
      <c r="O150" s="492"/>
      <c r="P150" s="343"/>
      <c r="Q150" s="343"/>
      <c r="R150" s="343"/>
      <c r="S150" s="343"/>
      <c r="T150" s="343"/>
      <c r="U150" s="343"/>
    </row>
    <row r="151" spans="1:21" ht="15.75">
      <c r="A151" s="343"/>
      <c r="B151" s="702"/>
      <c r="C151" s="635"/>
      <c r="D151" s="339"/>
      <c r="E151" s="492"/>
      <c r="I151" s="491"/>
      <c r="J151" s="491"/>
      <c r="K151" s="575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</row>
    <row r="152" spans="1:21" ht="15.75" hidden="1">
      <c r="A152" s="28">
        <v>2</v>
      </c>
      <c r="B152" s="697" t="s">
        <v>162</v>
      </c>
      <c r="C152" s="240"/>
      <c r="D152" s="698"/>
      <c r="E152" s="699"/>
      <c r="I152" s="491"/>
      <c r="J152" s="491"/>
      <c r="K152" s="575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</row>
    <row r="153" spans="1:21" ht="15.75">
      <c r="A153" s="994"/>
      <c r="B153" s="994"/>
      <c r="C153" s="635"/>
      <c r="D153" s="707"/>
      <c r="E153" s="343"/>
      <c r="I153" s="491"/>
      <c r="J153" s="491"/>
      <c r="K153" s="575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</row>
    <row r="154" spans="1:21" ht="15.75">
      <c r="A154" s="991"/>
      <c r="B154" s="991"/>
      <c r="C154" s="635"/>
      <c r="D154" s="707"/>
      <c r="E154" s="343"/>
      <c r="I154" s="491"/>
      <c r="J154" s="491"/>
      <c r="K154" s="575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</row>
    <row r="155" spans="1:21" ht="15.75">
      <c r="A155" s="991"/>
      <c r="B155" s="991"/>
      <c r="C155" s="635"/>
      <c r="D155" s="341"/>
      <c r="E155" s="343"/>
      <c r="I155" s="491"/>
      <c r="J155" s="491"/>
      <c r="K155" s="575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</row>
    <row r="156" spans="1:21">
      <c r="A156" s="343"/>
      <c r="B156" s="496"/>
      <c r="C156" s="635"/>
      <c r="D156" s="492"/>
      <c r="E156" s="343"/>
      <c r="I156" s="491"/>
      <c r="J156" s="491"/>
      <c r="K156" s="575"/>
      <c r="L156" s="496"/>
      <c r="M156" s="496"/>
      <c r="N156" s="496"/>
      <c r="O156" s="343"/>
      <c r="P156" s="343"/>
      <c r="Q156" s="343"/>
      <c r="R156" s="343"/>
      <c r="S156" s="343"/>
      <c r="T156" s="343"/>
      <c r="U156" s="343"/>
    </row>
    <row r="157" spans="1:21">
      <c r="A157" s="705"/>
      <c r="B157" s="343"/>
      <c r="C157" s="635"/>
      <c r="D157" s="492"/>
      <c r="E157" s="492"/>
      <c r="F157" s="166"/>
      <c r="I157" s="491"/>
      <c r="J157" s="491"/>
      <c r="K157" s="577"/>
      <c r="L157" s="492"/>
      <c r="M157" s="492"/>
      <c r="N157" s="492"/>
      <c r="O157" s="492"/>
      <c r="P157" s="492"/>
      <c r="Q157" s="343"/>
      <c r="R157" s="343"/>
      <c r="S157" s="343"/>
      <c r="T157" s="343"/>
      <c r="U157" s="343"/>
    </row>
    <row r="158" spans="1:21">
      <c r="A158" s="705"/>
      <c r="B158" s="343"/>
      <c r="C158" s="635"/>
      <c r="D158" s="492"/>
      <c r="E158" s="492"/>
      <c r="I158" s="491"/>
      <c r="J158" s="491"/>
      <c r="K158" s="575"/>
      <c r="L158" s="343"/>
      <c r="M158" s="343"/>
      <c r="N158" s="343"/>
      <c r="O158" s="492"/>
      <c r="P158" s="492"/>
      <c r="Q158" s="343"/>
      <c r="R158" s="343"/>
      <c r="S158" s="343"/>
      <c r="T158" s="343"/>
      <c r="U158" s="343"/>
    </row>
    <row r="159" spans="1:21">
      <c r="A159" s="705"/>
      <c r="B159" s="343"/>
      <c r="C159" s="635"/>
      <c r="D159" s="492"/>
      <c r="E159" s="492"/>
      <c r="I159" s="491"/>
      <c r="J159" s="491"/>
      <c r="K159" s="575"/>
      <c r="L159" s="343"/>
      <c r="M159" s="343"/>
      <c r="N159" s="343"/>
      <c r="O159" s="492"/>
      <c r="P159" s="492"/>
      <c r="Q159" s="343"/>
      <c r="R159" s="343"/>
      <c r="S159" s="343"/>
      <c r="T159" s="343"/>
      <c r="U159" s="343"/>
    </row>
    <row r="160" spans="1:21">
      <c r="A160" s="705"/>
      <c r="B160" s="343"/>
      <c r="C160" s="635"/>
      <c r="D160" s="492"/>
      <c r="E160" s="492"/>
      <c r="I160" s="491"/>
      <c r="J160" s="491"/>
      <c r="K160" s="577"/>
      <c r="L160" s="492"/>
      <c r="M160" s="492"/>
      <c r="N160" s="492"/>
      <c r="O160" s="492"/>
      <c r="P160" s="492"/>
      <c r="Q160" s="343"/>
      <c r="R160" s="343"/>
      <c r="S160" s="343"/>
      <c r="T160" s="343"/>
      <c r="U160" s="343"/>
    </row>
    <row r="161" spans="1:21">
      <c r="A161" s="705"/>
      <c r="B161" s="343"/>
      <c r="C161" s="635"/>
      <c r="D161" s="492"/>
      <c r="E161" s="492"/>
      <c r="I161" s="491"/>
      <c r="J161" s="491"/>
      <c r="K161" s="577"/>
      <c r="L161" s="492"/>
      <c r="M161" s="492"/>
      <c r="N161" s="492"/>
      <c r="O161" s="492"/>
      <c r="P161" s="492"/>
      <c r="Q161" s="343"/>
      <c r="R161" s="343"/>
      <c r="S161" s="343"/>
      <c r="T161" s="343"/>
      <c r="U161" s="343"/>
    </row>
    <row r="162" spans="1:21">
      <c r="A162" s="705"/>
      <c r="B162" s="343"/>
      <c r="C162" s="635"/>
      <c r="D162" s="492"/>
      <c r="E162" s="492"/>
      <c r="I162" s="491"/>
      <c r="J162" s="491"/>
      <c r="K162" s="577"/>
      <c r="L162" s="492"/>
      <c r="M162" s="492"/>
      <c r="N162" s="492"/>
      <c r="O162" s="492"/>
      <c r="P162" s="492"/>
      <c r="Q162" s="343"/>
      <c r="R162" s="343"/>
      <c r="S162" s="343"/>
      <c r="T162" s="343"/>
      <c r="U162" s="343"/>
    </row>
    <row r="163" spans="1:21">
      <c r="A163" s="705"/>
      <c r="B163" s="343"/>
      <c r="C163" s="635"/>
      <c r="D163" s="708"/>
      <c r="E163" s="492"/>
      <c r="I163" s="491"/>
      <c r="J163" s="491"/>
      <c r="K163" s="577"/>
      <c r="L163" s="492"/>
      <c r="M163" s="492"/>
      <c r="N163" s="492"/>
      <c r="O163" s="492"/>
      <c r="P163" s="492"/>
      <c r="Q163" s="343"/>
      <c r="R163" s="343"/>
      <c r="S163" s="343"/>
      <c r="T163" s="343"/>
      <c r="U163" s="343"/>
    </row>
    <row r="164" spans="1:21">
      <c r="A164" s="705"/>
      <c r="B164" s="343"/>
      <c r="C164" s="635"/>
      <c r="D164" s="708"/>
      <c r="E164" s="492"/>
      <c r="I164" s="491"/>
      <c r="J164" s="491"/>
      <c r="K164" s="577"/>
      <c r="L164" s="492"/>
      <c r="M164" s="492"/>
      <c r="N164" s="492"/>
      <c r="O164" s="492"/>
      <c r="P164" s="492"/>
      <c r="Q164" s="343"/>
      <c r="R164" s="343"/>
      <c r="S164" s="343"/>
      <c r="T164" s="343"/>
      <c r="U164" s="343"/>
    </row>
    <row r="165" spans="1:21">
      <c r="A165" s="705"/>
      <c r="B165" s="674"/>
      <c r="C165" s="635"/>
      <c r="D165" s="708"/>
      <c r="E165" s="708"/>
      <c r="I165" s="491"/>
      <c r="J165" s="491"/>
      <c r="K165" s="577"/>
      <c r="L165" s="492"/>
      <c r="M165" s="492"/>
      <c r="N165" s="492"/>
      <c r="O165" s="492"/>
      <c r="P165" s="492"/>
      <c r="Q165" s="343"/>
      <c r="R165" s="343"/>
      <c r="S165" s="343"/>
      <c r="T165" s="343"/>
      <c r="U165" s="343"/>
    </row>
    <row r="166" spans="1:21" ht="15.75">
      <c r="A166" s="705"/>
      <c r="B166" s="343"/>
      <c r="C166" s="635"/>
      <c r="D166" s="708"/>
      <c r="E166" s="708"/>
      <c r="I166" s="494"/>
      <c r="J166" s="494"/>
      <c r="K166" s="578"/>
      <c r="L166" s="341"/>
      <c r="M166" s="341"/>
      <c r="N166" s="341"/>
      <c r="O166" s="343"/>
      <c r="P166" s="343"/>
      <c r="Q166" s="343"/>
      <c r="R166" s="343"/>
      <c r="S166" s="343"/>
      <c r="T166" s="343"/>
      <c r="U166" s="343"/>
    </row>
    <row r="167" spans="1:21">
      <c r="A167" s="705"/>
      <c r="B167" s="674"/>
      <c r="C167" s="635"/>
      <c r="D167" s="708"/>
      <c r="E167" s="708"/>
      <c r="I167" s="493"/>
      <c r="J167" s="493"/>
      <c r="K167" s="579"/>
      <c r="L167" s="495"/>
      <c r="M167" s="495"/>
      <c r="N167" s="495"/>
      <c r="O167" s="978"/>
      <c r="P167" s="979"/>
      <c r="Q167" s="343"/>
      <c r="R167" s="343"/>
      <c r="S167" s="343"/>
      <c r="T167" s="343"/>
      <c r="U167" s="343"/>
    </row>
    <row r="168" spans="1:21" s="173" customFormat="1" ht="16.5" thickBot="1">
      <c r="A168" s="498"/>
      <c r="B168" s="498"/>
      <c r="C168" s="694"/>
      <c r="D168" s="497"/>
      <c r="E168" s="497"/>
      <c r="I168" s="491"/>
      <c r="J168" s="491"/>
      <c r="K168" s="575"/>
      <c r="L168" s="343"/>
      <c r="M168" s="343"/>
      <c r="N168" s="343"/>
      <c r="O168" s="497"/>
      <c r="P168" s="498"/>
      <c r="Q168" s="498"/>
      <c r="R168" s="498"/>
      <c r="S168" s="498"/>
      <c r="T168" s="498"/>
      <c r="U168" s="498"/>
    </row>
    <row r="169" spans="1:21" ht="15.75" thickBot="1">
      <c r="A169" s="343"/>
      <c r="B169" s="343"/>
      <c r="D169" s="343"/>
      <c r="E169" s="343"/>
      <c r="J169" s="491"/>
      <c r="K169" s="575"/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</row>
    <row r="170" spans="1:21" ht="15.75">
      <c r="A170" s="343"/>
      <c r="B170" s="528"/>
      <c r="C170" s="695" t="s">
        <v>179</v>
      </c>
      <c r="D170" s="992"/>
      <c r="E170" s="993"/>
      <c r="J170" s="491"/>
      <c r="K170" s="575"/>
      <c r="L170" s="343"/>
      <c r="M170" s="343"/>
      <c r="N170" s="343"/>
      <c r="O170" s="492"/>
      <c r="P170" s="343"/>
      <c r="Q170" s="343"/>
      <c r="R170" s="343"/>
      <c r="S170" s="343"/>
      <c r="T170" s="343"/>
      <c r="U170" s="343"/>
    </row>
    <row r="171" spans="1:21" ht="36" customHeight="1">
      <c r="A171" s="343"/>
      <c r="B171" s="706"/>
      <c r="C171" s="635"/>
      <c r="D171" s="497"/>
      <c r="E171" s="492"/>
      <c r="J171" s="491"/>
      <c r="K171" s="575"/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</row>
    <row r="172" spans="1:21" ht="16.5" hidden="1" customHeight="1">
      <c r="A172" s="28"/>
      <c r="B172" s="700" t="s">
        <v>182</v>
      </c>
      <c r="C172" s="240"/>
      <c r="D172" s="701"/>
      <c r="E172" s="699"/>
      <c r="J172" s="491"/>
      <c r="K172" s="575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</row>
    <row r="173" spans="1:21">
      <c r="A173" s="343"/>
      <c r="B173" s="496"/>
      <c r="C173" s="635"/>
      <c r="D173" s="703"/>
      <c r="E173" s="343"/>
      <c r="J173" s="491"/>
      <c r="K173" s="575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</row>
    <row r="174" spans="1:21">
      <c r="A174" s="343"/>
      <c r="B174" s="343"/>
      <c r="C174" s="696">
        <v>1131730.8631018416</v>
      </c>
      <c r="D174" s="492"/>
      <c r="E174" s="492"/>
      <c r="J174" s="491"/>
      <c r="K174" s="575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</row>
    <row r="175" spans="1:21">
      <c r="A175" s="343"/>
      <c r="B175" s="575"/>
      <c r="C175" s="696">
        <v>90925.338325991193</v>
      </c>
      <c r="D175" s="492"/>
      <c r="E175" s="492"/>
      <c r="J175" s="491"/>
      <c r="K175" s="575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</row>
    <row r="176" spans="1:21">
      <c r="A176" s="343"/>
      <c r="B176" s="343"/>
      <c r="C176" s="696">
        <v>1222656.2014278329</v>
      </c>
      <c r="D176" s="492"/>
      <c r="E176" s="492"/>
    </row>
    <row r="177" spans="1:14">
      <c r="A177" s="343"/>
      <c r="B177" s="343"/>
      <c r="C177" s="635">
        <v>75014</v>
      </c>
      <c r="D177" s="492"/>
      <c r="E177" s="492"/>
    </row>
    <row r="178" spans="1:14">
      <c r="A178" s="343"/>
      <c r="B178" s="343"/>
      <c r="C178" s="635">
        <v>75014</v>
      </c>
      <c r="D178" s="492"/>
      <c r="E178" s="492"/>
    </row>
    <row r="179" spans="1:14">
      <c r="A179" s="343"/>
      <c r="B179" s="343"/>
      <c r="C179" s="635"/>
      <c r="D179" s="492"/>
      <c r="E179" s="492"/>
    </row>
    <row r="180" spans="1:14">
      <c r="A180" s="343"/>
      <c r="B180" s="343"/>
      <c r="C180" s="635"/>
      <c r="D180" s="492"/>
      <c r="E180" s="492"/>
    </row>
    <row r="181" spans="1:14" ht="15.75">
      <c r="A181" s="343"/>
      <c r="B181" s="343"/>
      <c r="C181" s="635"/>
      <c r="D181" s="492"/>
      <c r="E181" s="492"/>
      <c r="I181" s="173"/>
      <c r="J181" s="173"/>
      <c r="K181" s="580"/>
      <c r="L181" s="173"/>
      <c r="M181" s="173"/>
      <c r="N181" s="173"/>
    </row>
    <row r="182" spans="1:14">
      <c r="A182" s="343"/>
      <c r="B182" s="343"/>
      <c r="C182" s="635"/>
      <c r="D182" s="492"/>
      <c r="E182" s="492"/>
    </row>
    <row r="183" spans="1:14">
      <c r="A183" s="343"/>
      <c r="B183" s="343"/>
      <c r="C183" s="635"/>
      <c r="D183" s="492"/>
      <c r="E183" s="492"/>
    </row>
    <row r="184" spans="1:14" ht="18.75">
      <c r="A184" s="343"/>
      <c r="B184" s="343"/>
      <c r="C184" s="635"/>
      <c r="D184" s="492"/>
      <c r="E184" s="492"/>
      <c r="I184" s="176"/>
      <c r="J184" s="176"/>
      <c r="K184" s="581"/>
      <c r="L184" s="176"/>
      <c r="M184" s="176"/>
      <c r="N184" s="176"/>
    </row>
    <row r="185" spans="1:14" s="173" customFormat="1" ht="16.5" thickBot="1">
      <c r="A185" s="498"/>
      <c r="B185" s="498"/>
      <c r="C185" s="694"/>
      <c r="D185" s="497"/>
      <c r="E185" s="497"/>
      <c r="I185" s="5"/>
      <c r="J185" s="5"/>
      <c r="K185" s="548"/>
      <c r="L185"/>
      <c r="M185"/>
      <c r="N185"/>
    </row>
    <row r="186" spans="1:14">
      <c r="A186" s="343"/>
      <c r="B186" s="343"/>
      <c r="D186" s="343"/>
      <c r="E186" s="343"/>
      <c r="I186" s="184"/>
      <c r="J186" s="184"/>
      <c r="K186" s="582"/>
      <c r="L186" s="50"/>
      <c r="M186" s="50"/>
      <c r="N186" s="50"/>
    </row>
    <row r="187" spans="1:14">
      <c r="A187" s="343"/>
      <c r="B187" s="343"/>
      <c r="D187" s="343"/>
      <c r="E187" s="343"/>
      <c r="I187" s="184"/>
      <c r="J187" s="184"/>
      <c r="K187" s="582"/>
      <c r="L187" s="50"/>
      <c r="M187" s="50"/>
      <c r="N187" s="50"/>
    </row>
    <row r="188" spans="1:14" s="176" customFormat="1" ht="63.75" hidden="1">
      <c r="B188" s="176" t="s">
        <v>192</v>
      </c>
      <c r="C188" s="581" t="s">
        <v>193</v>
      </c>
      <c r="D188" s="177" t="s">
        <v>194</v>
      </c>
      <c r="E188" s="177" t="s">
        <v>195</v>
      </c>
      <c r="F188" s="177" t="s">
        <v>196</v>
      </c>
      <c r="I188" s="184"/>
      <c r="J188" s="184"/>
      <c r="K188" s="582"/>
      <c r="L188" s="50"/>
      <c r="M188" s="50"/>
      <c r="N188" s="50"/>
    </row>
    <row r="189" spans="1:14" ht="15.75" hidden="1" thickBot="1">
      <c r="B189" s="178" t="s">
        <v>197</v>
      </c>
      <c r="C189" s="646"/>
      <c r="D189" s="179">
        <v>38</v>
      </c>
      <c r="E189" s="180">
        <v>51</v>
      </c>
      <c r="F189" s="179">
        <v>73</v>
      </c>
      <c r="I189" s="184"/>
      <c r="J189" s="184"/>
      <c r="K189" s="582"/>
      <c r="L189" s="50"/>
      <c r="M189" s="50"/>
      <c r="N189" s="50"/>
    </row>
    <row r="190" spans="1:14" s="50" customFormat="1" ht="31.5" hidden="1" customHeight="1">
      <c r="B190" s="181" t="s">
        <v>198</v>
      </c>
      <c r="C190" s="647">
        <f>F24</f>
        <v>46.512099105468401</v>
      </c>
      <c r="D190" s="183">
        <f>$C190*D189</f>
        <v>1767.4597660077993</v>
      </c>
      <c r="E190" s="183">
        <f>$C190*E189</f>
        <v>2372.1170543788885</v>
      </c>
      <c r="F190" s="183">
        <f>$C190*F189</f>
        <v>3395.3832346991935</v>
      </c>
      <c r="I190" s="184"/>
      <c r="J190" s="184"/>
      <c r="K190" s="582"/>
    </row>
    <row r="191" spans="1:14" s="50" customFormat="1" hidden="1">
      <c r="B191" s="181" t="s">
        <v>199</v>
      </c>
      <c r="C191" s="582">
        <v>13.5</v>
      </c>
      <c r="D191" s="183">
        <f>$C191*D189</f>
        <v>513</v>
      </c>
      <c r="E191" s="183">
        <f>$C191*E189</f>
        <v>688.5</v>
      </c>
      <c r="F191" s="183">
        <f>$C191*F189</f>
        <v>985.5</v>
      </c>
      <c r="I191" s="184"/>
      <c r="J191" s="184"/>
      <c r="K191" s="582"/>
    </row>
    <row r="192" spans="1:14" s="50" customFormat="1" hidden="1">
      <c r="B192" s="181" t="s">
        <v>200</v>
      </c>
      <c r="C192" s="582">
        <v>78</v>
      </c>
      <c r="D192" s="183">
        <f>$D193*C192</f>
        <v>156</v>
      </c>
      <c r="E192" s="183">
        <f t="shared" ref="E192:F192" si="26">$D193*D192</f>
        <v>312</v>
      </c>
      <c r="F192" s="183">
        <f t="shared" si="26"/>
        <v>624</v>
      </c>
      <c r="I192" s="184"/>
      <c r="J192" s="184"/>
      <c r="K192" s="582"/>
    </row>
    <row r="193" spans="2:14" s="50" customFormat="1" hidden="1">
      <c r="B193" s="50" t="s">
        <v>201</v>
      </c>
      <c r="C193" s="582"/>
      <c r="D193" s="183">
        <v>2</v>
      </c>
      <c r="E193" s="183">
        <v>4</v>
      </c>
      <c r="F193" s="183">
        <v>6</v>
      </c>
      <c r="I193" s="184"/>
      <c r="J193" s="184"/>
      <c r="K193" s="582"/>
    </row>
    <row r="194" spans="2:14" s="50" customFormat="1" hidden="1">
      <c r="B194" s="181" t="s">
        <v>202</v>
      </c>
      <c r="C194" s="582">
        <v>38.06</v>
      </c>
      <c r="D194" s="183">
        <f>$C194*D195</f>
        <v>152.24</v>
      </c>
      <c r="E194" s="183">
        <f t="shared" ref="E194:F194" si="27">$C194*E195</f>
        <v>304.48</v>
      </c>
      <c r="F194" s="183">
        <f t="shared" si="27"/>
        <v>456.72</v>
      </c>
      <c r="I194" s="184"/>
      <c r="J194" s="184"/>
      <c r="K194" s="582"/>
    </row>
    <row r="195" spans="2:14" s="50" customFormat="1" hidden="1">
      <c r="B195" s="50" t="s">
        <v>203</v>
      </c>
      <c r="C195" s="582"/>
      <c r="D195" s="183">
        <v>4</v>
      </c>
      <c r="E195" s="183">
        <v>8</v>
      </c>
      <c r="F195" s="183">
        <v>12</v>
      </c>
      <c r="I195" s="184"/>
      <c r="J195" s="184"/>
      <c r="K195" s="582"/>
    </row>
    <row r="196" spans="2:14" s="50" customFormat="1" hidden="1">
      <c r="B196" s="181" t="s">
        <v>170</v>
      </c>
      <c r="C196" s="582">
        <v>27.01</v>
      </c>
      <c r="D196" s="183">
        <f>$C196*D197</f>
        <v>162.06</v>
      </c>
      <c r="E196" s="183">
        <f t="shared" ref="E196:F196" si="28">$C196*E197</f>
        <v>324.12</v>
      </c>
      <c r="F196" s="183">
        <f t="shared" si="28"/>
        <v>486.18</v>
      </c>
      <c r="I196" s="184"/>
      <c r="J196" s="184"/>
      <c r="K196" s="582"/>
    </row>
    <row r="197" spans="2:14" s="50" customFormat="1" hidden="1">
      <c r="B197" s="185" t="s">
        <v>204</v>
      </c>
      <c r="C197" s="582"/>
      <c r="D197" s="183">
        <f>D195+D193</f>
        <v>6</v>
      </c>
      <c r="E197" s="183">
        <f t="shared" ref="E197:F197" si="29">E195+E193</f>
        <v>12</v>
      </c>
      <c r="F197" s="183">
        <f t="shared" si="29"/>
        <v>18</v>
      </c>
      <c r="I197" s="184"/>
      <c r="J197" s="184"/>
      <c r="K197" s="582"/>
    </row>
    <row r="198" spans="2:14" s="50" customFormat="1" hidden="1">
      <c r="B198" s="181" t="s">
        <v>62</v>
      </c>
      <c r="C198" s="582">
        <v>25</v>
      </c>
      <c r="D198" s="183">
        <f>C198</f>
        <v>25</v>
      </c>
      <c r="E198" s="183">
        <f t="shared" ref="E198:F200" si="30">D198</f>
        <v>25</v>
      </c>
      <c r="F198" s="183">
        <f t="shared" si="30"/>
        <v>25</v>
      </c>
      <c r="I198" s="5"/>
      <c r="J198" s="5"/>
      <c r="K198" s="548"/>
      <c r="L198"/>
      <c r="M198"/>
      <c r="N198"/>
    </row>
    <row r="199" spans="2:14" s="50" customFormat="1" ht="18.75" hidden="1">
      <c r="B199" s="181" t="s">
        <v>205</v>
      </c>
      <c r="C199" s="582">
        <v>149</v>
      </c>
      <c r="D199" s="183">
        <f>C199</f>
        <v>149</v>
      </c>
      <c r="E199" s="183">
        <f t="shared" si="30"/>
        <v>149</v>
      </c>
      <c r="F199" s="183">
        <f t="shared" si="30"/>
        <v>149</v>
      </c>
      <c r="I199" s="176"/>
      <c r="J199" s="176"/>
      <c r="K199" s="581"/>
      <c r="L199" s="176"/>
      <c r="M199" s="176"/>
      <c r="N199" s="176"/>
    </row>
    <row r="200" spans="2:14" s="50" customFormat="1" hidden="1">
      <c r="B200" s="181" t="s">
        <v>206</v>
      </c>
      <c r="C200" s="582">
        <v>105.02</v>
      </c>
      <c r="D200" s="183">
        <f>C200</f>
        <v>105.02</v>
      </c>
      <c r="E200" s="183">
        <f t="shared" si="30"/>
        <v>105.02</v>
      </c>
      <c r="F200" s="183">
        <f t="shared" si="30"/>
        <v>105.02</v>
      </c>
      <c r="I200" s="5"/>
      <c r="J200" s="5"/>
      <c r="K200" s="548"/>
      <c r="L200"/>
      <c r="M200"/>
      <c r="N200"/>
    </row>
    <row r="201" spans="2:14" s="50" customFormat="1" ht="15.75" hidden="1">
      <c r="B201" s="186" t="s">
        <v>21</v>
      </c>
      <c r="C201" s="648"/>
      <c r="D201" s="187">
        <f>D200+D199+D198+D196+D194+D192+D191+D190</f>
        <v>3029.7797660077995</v>
      </c>
      <c r="E201" s="187">
        <f t="shared" ref="E201" si="31">E200+E199+E198+E196+E194+E192+E191+E190</f>
        <v>4280.2370543788884</v>
      </c>
      <c r="F201" s="187">
        <f>F200+F199+F198+F196+F194+F192+F191+F190</f>
        <v>6226.8032346991931</v>
      </c>
      <c r="I201" s="184"/>
      <c r="J201" s="184"/>
      <c r="K201" s="582"/>
    </row>
    <row r="202" spans="2:14" hidden="1">
      <c r="I202" s="184"/>
      <c r="J202" s="184"/>
      <c r="K202" s="582"/>
      <c r="L202" s="50"/>
      <c r="M202" s="50"/>
      <c r="N202" s="50"/>
    </row>
    <row r="203" spans="2:14" s="176" customFormat="1" ht="63.75" hidden="1">
      <c r="B203" s="176" t="s">
        <v>207</v>
      </c>
      <c r="C203" s="581" t="s">
        <v>193</v>
      </c>
      <c r="D203" s="177" t="s">
        <v>194</v>
      </c>
      <c r="E203" s="177" t="s">
        <v>195</v>
      </c>
      <c r="F203" s="177" t="s">
        <v>196</v>
      </c>
      <c r="I203" s="184"/>
      <c r="J203" s="184"/>
      <c r="K203" s="582"/>
      <c r="L203" s="50"/>
      <c r="M203" s="50"/>
      <c r="N203" s="50"/>
    </row>
    <row r="204" spans="2:14" ht="15.75" hidden="1" thickBot="1">
      <c r="B204" s="178" t="s">
        <v>197</v>
      </c>
      <c r="C204" s="646"/>
      <c r="D204" s="179">
        <v>38</v>
      </c>
      <c r="E204" s="180">
        <v>51</v>
      </c>
      <c r="F204" s="179">
        <v>73</v>
      </c>
      <c r="I204" s="184"/>
      <c r="J204" s="184"/>
      <c r="K204" s="582"/>
      <c r="L204" s="50"/>
      <c r="M204" s="50"/>
      <c r="N204" s="50"/>
    </row>
    <row r="205" spans="2:14" s="50" customFormat="1" ht="19.5" hidden="1" customHeight="1">
      <c r="B205" s="181" t="s">
        <v>208</v>
      </c>
      <c r="C205" s="647"/>
      <c r="D205" s="183"/>
      <c r="E205" s="183"/>
      <c r="F205" s="183"/>
      <c r="I205" s="184"/>
      <c r="J205" s="184"/>
      <c r="K205" s="582"/>
    </row>
    <row r="206" spans="2:14" s="50" customFormat="1" ht="18" hidden="1" customHeight="1">
      <c r="B206" s="181" t="s">
        <v>209</v>
      </c>
      <c r="C206" s="647" t="e">
        <f>F24-F27-#REF!</f>
        <v>#REF!</v>
      </c>
      <c r="D206" s="183" t="e">
        <f>$C206*D204</f>
        <v>#REF!</v>
      </c>
      <c r="E206" s="183" t="e">
        <f t="shared" ref="E206:F206" si="32">$C206*E204</f>
        <v>#REF!</v>
      </c>
      <c r="F206" s="183" t="e">
        <f t="shared" si="32"/>
        <v>#REF!</v>
      </c>
      <c r="I206" s="184"/>
      <c r="J206" s="184"/>
      <c r="K206" s="582"/>
    </row>
    <row r="207" spans="2:14" s="50" customFormat="1" ht="31.5" hidden="1" customHeight="1">
      <c r="B207" s="181" t="s">
        <v>210</v>
      </c>
      <c r="C207" s="647">
        <f>F27</f>
        <v>9.7437214102144303</v>
      </c>
      <c r="D207" s="183">
        <f>$C207*D204</f>
        <v>370.26141358814834</v>
      </c>
      <c r="E207" s="183">
        <f t="shared" ref="E207:F207" si="33">$C207*E204</f>
        <v>496.92979192093594</v>
      </c>
      <c r="F207" s="183">
        <f t="shared" si="33"/>
        <v>711.29166294565346</v>
      </c>
      <c r="I207" s="184"/>
      <c r="J207" s="184"/>
      <c r="K207" s="582"/>
    </row>
    <row r="208" spans="2:14" s="50" customFormat="1" hidden="1">
      <c r="B208" s="181" t="s">
        <v>199</v>
      </c>
      <c r="C208" s="582">
        <v>13.5</v>
      </c>
      <c r="D208" s="183">
        <f>$C208*D204</f>
        <v>513</v>
      </c>
      <c r="E208" s="183">
        <f>$C208*E204</f>
        <v>688.5</v>
      </c>
      <c r="F208" s="183">
        <f>$C208*F204</f>
        <v>985.5</v>
      </c>
      <c r="I208" s="184"/>
      <c r="J208" s="184"/>
      <c r="K208" s="582"/>
    </row>
    <row r="209" spans="2:14" s="50" customFormat="1" hidden="1">
      <c r="B209" s="181" t="s">
        <v>200</v>
      </c>
      <c r="C209" s="582">
        <v>78</v>
      </c>
      <c r="D209" s="183">
        <f>$D210*C209</f>
        <v>156</v>
      </c>
      <c r="E209" s="183">
        <f t="shared" ref="E209:F209" si="34">$D210*D209</f>
        <v>312</v>
      </c>
      <c r="F209" s="183">
        <f t="shared" si="34"/>
        <v>624</v>
      </c>
      <c r="I209" s="184"/>
      <c r="J209" s="184"/>
      <c r="K209" s="582"/>
    </row>
    <row r="210" spans="2:14" s="50" customFormat="1" hidden="1">
      <c r="B210" s="50" t="s">
        <v>201</v>
      </c>
      <c r="C210" s="582"/>
      <c r="D210" s="183">
        <v>2</v>
      </c>
      <c r="E210" s="183">
        <v>4</v>
      </c>
      <c r="F210" s="183">
        <v>6</v>
      </c>
      <c r="I210" s="184"/>
      <c r="J210" s="184"/>
      <c r="K210" s="582"/>
    </row>
    <row r="211" spans="2:14" s="50" customFormat="1" hidden="1">
      <c r="B211" s="181" t="s">
        <v>202</v>
      </c>
      <c r="C211" s="582">
        <v>38.06</v>
      </c>
      <c r="D211" s="183">
        <f>$C211*D212</f>
        <v>152.24</v>
      </c>
      <c r="E211" s="183">
        <f t="shared" ref="E211:F211" si="35">$C211*E212</f>
        <v>304.48</v>
      </c>
      <c r="F211" s="183">
        <f t="shared" si="35"/>
        <v>456.72</v>
      </c>
      <c r="I211" s="184"/>
      <c r="J211" s="184"/>
      <c r="K211" s="582"/>
    </row>
    <row r="212" spans="2:14" s="50" customFormat="1" hidden="1">
      <c r="B212" s="50" t="s">
        <v>203</v>
      </c>
      <c r="C212" s="582"/>
      <c r="D212" s="183">
        <v>4</v>
      </c>
      <c r="E212" s="183">
        <v>8</v>
      </c>
      <c r="F212" s="183">
        <v>12</v>
      </c>
      <c r="I212" s="184"/>
      <c r="J212" s="184"/>
      <c r="K212" s="582"/>
    </row>
    <row r="213" spans="2:14" s="50" customFormat="1" hidden="1">
      <c r="B213" s="181" t="s">
        <v>170</v>
      </c>
      <c r="C213" s="582">
        <v>27.01</v>
      </c>
      <c r="D213" s="183">
        <f>$C213*D214</f>
        <v>162.06</v>
      </c>
      <c r="E213" s="183">
        <f t="shared" ref="E213:F213" si="36">$C213*E214</f>
        <v>324.12</v>
      </c>
      <c r="F213" s="183">
        <f t="shared" si="36"/>
        <v>486.18</v>
      </c>
      <c r="I213" s="184"/>
      <c r="J213" s="184"/>
      <c r="K213" s="582"/>
    </row>
    <row r="214" spans="2:14" s="50" customFormat="1" hidden="1">
      <c r="B214" s="185" t="s">
        <v>204</v>
      </c>
      <c r="C214" s="582"/>
      <c r="D214" s="183">
        <f>D212+D210</f>
        <v>6</v>
      </c>
      <c r="E214" s="183">
        <f t="shared" ref="E214:F214" si="37">E212+E210</f>
        <v>12</v>
      </c>
      <c r="F214" s="183">
        <f t="shared" si="37"/>
        <v>18</v>
      </c>
      <c r="I214" s="184"/>
      <c r="J214" s="184"/>
      <c r="K214" s="582"/>
    </row>
    <row r="215" spans="2:14" s="50" customFormat="1" hidden="1">
      <c r="B215" s="181" t="s">
        <v>62</v>
      </c>
      <c r="C215" s="582">
        <v>25</v>
      </c>
      <c r="D215" s="183">
        <f>C215</f>
        <v>25</v>
      </c>
      <c r="E215" s="183">
        <f t="shared" ref="E215:F217" si="38">D215</f>
        <v>25</v>
      </c>
      <c r="F215" s="183">
        <f t="shared" si="38"/>
        <v>25</v>
      </c>
      <c r="I215" s="184"/>
      <c r="J215" s="184"/>
      <c r="K215" s="582"/>
    </row>
    <row r="216" spans="2:14" s="50" customFormat="1" hidden="1">
      <c r="B216" s="181" t="s">
        <v>205</v>
      </c>
      <c r="C216" s="582">
        <v>149</v>
      </c>
      <c r="D216" s="183">
        <f>C216</f>
        <v>149</v>
      </c>
      <c r="E216" s="183">
        <f t="shared" si="38"/>
        <v>149</v>
      </c>
      <c r="F216" s="183">
        <f t="shared" si="38"/>
        <v>149</v>
      </c>
      <c r="I216" s="5"/>
      <c r="J216" s="5"/>
      <c r="K216" s="548"/>
      <c r="L216"/>
      <c r="M216"/>
      <c r="N216"/>
    </row>
    <row r="217" spans="2:14" s="50" customFormat="1" hidden="1">
      <c r="B217" s="181" t="s">
        <v>206</v>
      </c>
      <c r="C217" s="582">
        <v>105.02</v>
      </c>
      <c r="D217" s="183">
        <f>C217</f>
        <v>105.02</v>
      </c>
      <c r="E217" s="183">
        <f t="shared" si="38"/>
        <v>105.02</v>
      </c>
      <c r="F217" s="183">
        <f t="shared" si="38"/>
        <v>105.02</v>
      </c>
      <c r="I217" s="5"/>
      <c r="J217" s="5"/>
      <c r="K217" s="548"/>
      <c r="L217"/>
      <c r="M217"/>
      <c r="N217"/>
    </row>
    <row r="218" spans="2:14" s="50" customFormat="1" hidden="1">
      <c r="B218" s="181" t="s">
        <v>211</v>
      </c>
      <c r="C218" s="649" t="e">
        <f>#REF!</f>
        <v>#REF!</v>
      </c>
      <c r="D218" s="183" t="e">
        <f>$C218*D204</f>
        <v>#REF!</v>
      </c>
      <c r="E218" s="183" t="e">
        <f t="shared" ref="E218:F218" si="39">$C218*E204</f>
        <v>#REF!</v>
      </c>
      <c r="F218" s="183" t="e">
        <f t="shared" si="39"/>
        <v>#REF!</v>
      </c>
      <c r="I218" s="5"/>
      <c r="J218" s="5"/>
      <c r="K218" s="548"/>
      <c r="L218"/>
      <c r="M218"/>
      <c r="N218"/>
    </row>
    <row r="219" spans="2:14" s="50" customFormat="1" ht="15.75" hidden="1">
      <c r="B219" s="186" t="s">
        <v>21</v>
      </c>
      <c r="C219" s="648"/>
      <c r="D219" s="187" t="e">
        <f>D218+D217+D216+D215+D213+D211+D209+D208+D207+D206</f>
        <v>#REF!</v>
      </c>
      <c r="E219" s="187" t="e">
        <f t="shared" ref="E219:F219" si="40">E218+E217+E216+E215+E213+E211+E209+E208+E207+E206</f>
        <v>#REF!</v>
      </c>
      <c r="F219" s="187" t="e">
        <f t="shared" si="40"/>
        <v>#REF!</v>
      </c>
      <c r="I219" s="5"/>
      <c r="J219" s="5"/>
      <c r="K219" s="548"/>
      <c r="L219"/>
      <c r="M219"/>
      <c r="N219"/>
    </row>
  </sheetData>
  <autoFilter ref="A26:U99">
    <filterColumn colId="11">
      <filters>
        <filter val="фонд"/>
      </filters>
    </filterColumn>
  </autoFilter>
  <mergeCells count="21">
    <mergeCell ref="A144:B144"/>
    <mergeCell ref="D10:E10"/>
    <mergeCell ref="D12:E12"/>
    <mergeCell ref="D13:E13"/>
    <mergeCell ref="B21:B22"/>
    <mergeCell ref="D21:D22"/>
    <mergeCell ref="E21:E22"/>
    <mergeCell ref="F21:F22"/>
    <mergeCell ref="G21:H21"/>
    <mergeCell ref="I21:J21"/>
    <mergeCell ref="K136:M136"/>
    <mergeCell ref="L21:L22"/>
    <mergeCell ref="A155:B155"/>
    <mergeCell ref="O167:P167"/>
    <mergeCell ref="D170:E170"/>
    <mergeCell ref="A145:B145"/>
    <mergeCell ref="A146:B146"/>
    <mergeCell ref="A147:B147"/>
    <mergeCell ref="D150:E150"/>
    <mergeCell ref="A153:B153"/>
    <mergeCell ref="A154:B154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24" workbookViewId="0">
      <selection activeCell="H56" sqref="H56"/>
    </sheetView>
  </sheetViews>
  <sheetFormatPr defaultRowHeight="15"/>
  <cols>
    <col min="1" max="1" width="3.42578125" customWidth="1"/>
    <col min="2" max="2" width="45.5703125" customWidth="1"/>
    <col min="3" max="3" width="16" hidden="1" customWidth="1"/>
    <col min="4" max="4" width="7" customWidth="1"/>
    <col min="5" max="5" width="7.28515625" customWidth="1"/>
    <col min="6" max="6" width="10.42578125" style="7" customWidth="1"/>
    <col min="7" max="7" width="12.140625" style="5" customWidth="1"/>
    <col min="8" max="8" width="10.5703125" style="5" customWidth="1"/>
    <col min="10" max="10" width="9.85546875" bestFit="1" customWidth="1"/>
  </cols>
  <sheetData>
    <row r="1" spans="1:8" ht="15" customHeight="1">
      <c r="A1" s="802" t="s">
        <v>431</v>
      </c>
      <c r="B1" s="802"/>
      <c r="C1" s="802"/>
      <c r="D1" s="802"/>
      <c r="E1" s="802"/>
      <c r="F1" s="802"/>
      <c r="G1" s="1001" t="s">
        <v>434</v>
      </c>
      <c r="H1" s="1001"/>
    </row>
    <row r="2" spans="1:8" ht="15" customHeight="1">
      <c r="A2" s="802" t="s">
        <v>432</v>
      </c>
      <c r="B2" s="802"/>
      <c r="C2" s="802"/>
      <c r="D2" s="802"/>
      <c r="E2" s="802"/>
      <c r="F2" s="802"/>
      <c r="G2" s="1001" t="s">
        <v>435</v>
      </c>
      <c r="H2" s="1001"/>
    </row>
    <row r="3" spans="1:8" ht="15" customHeight="1">
      <c r="A3" s="802" t="s">
        <v>433</v>
      </c>
      <c r="B3" s="802"/>
      <c r="C3" s="802"/>
      <c r="D3" s="802"/>
      <c r="E3" s="802"/>
      <c r="F3" s="1001" t="s">
        <v>438</v>
      </c>
      <c r="G3" s="1001"/>
      <c r="H3" s="1001"/>
    </row>
    <row r="4" spans="1:8" ht="17.25" customHeight="1">
      <c r="A4" s="802"/>
      <c r="B4" s="802"/>
      <c r="C4" s="802"/>
      <c r="D4" s="802"/>
      <c r="E4" s="802"/>
      <c r="F4" s="802"/>
      <c r="G4" s="946"/>
      <c r="H4" s="946"/>
    </row>
    <row r="5" spans="1:8" s="681" customFormat="1" ht="21">
      <c r="A5" s="1002" t="s">
        <v>354</v>
      </c>
      <c r="B5" s="1002"/>
      <c r="C5" s="1002"/>
      <c r="D5" s="1002"/>
      <c r="E5" s="1002"/>
      <c r="F5" s="1002"/>
      <c r="G5" s="1002"/>
      <c r="H5" s="1002"/>
    </row>
    <row r="6" spans="1:8" s="681" customFormat="1" ht="12.75" customHeight="1">
      <c r="A6" s="685"/>
      <c r="B6" s="685"/>
      <c r="C6" s="685"/>
      <c r="D6" s="685"/>
      <c r="E6" s="685"/>
      <c r="F6" s="685"/>
      <c r="G6" s="685"/>
      <c r="H6" s="685"/>
    </row>
    <row r="7" spans="1:8" s="7" customFormat="1" ht="26.25">
      <c r="A7" s="1013" t="s">
        <v>4</v>
      </c>
      <c r="B7" s="993"/>
      <c r="C7" s="993"/>
      <c r="D7" s="993"/>
      <c r="E7" s="993"/>
      <c r="F7" s="947" t="s">
        <v>430</v>
      </c>
      <c r="G7" s="950" t="s">
        <v>355</v>
      </c>
      <c r="H7" s="950" t="s">
        <v>356</v>
      </c>
    </row>
    <row r="8" spans="1:8" ht="12" customHeight="1">
      <c r="A8" s="1014" t="s">
        <v>153</v>
      </c>
      <c r="B8" s="1014"/>
      <c r="C8" s="1014"/>
      <c r="D8" s="1014"/>
      <c r="E8" s="1014"/>
      <c r="F8" s="948">
        <v>31935.8</v>
      </c>
      <c r="G8" s="894">
        <f>F8-H8</f>
        <v>17726.5</v>
      </c>
      <c r="H8" s="894">
        <v>14209.3</v>
      </c>
    </row>
    <row r="9" spans="1:8" ht="12" customHeight="1">
      <c r="A9" s="1014" t="s">
        <v>154</v>
      </c>
      <c r="B9" s="1014"/>
      <c r="C9" s="1014"/>
      <c r="D9" s="1014"/>
      <c r="E9" s="1014"/>
      <c r="F9" s="948">
        <v>1657.2</v>
      </c>
      <c r="G9" s="894">
        <v>991.4</v>
      </c>
      <c r="H9" s="894">
        <v>665.8</v>
      </c>
    </row>
    <row r="10" spans="1:8" ht="12" customHeight="1">
      <c r="A10" s="1014" t="s">
        <v>155</v>
      </c>
      <c r="B10" s="1014"/>
      <c r="C10" s="1014"/>
      <c r="D10" s="1014"/>
      <c r="E10" s="1014"/>
      <c r="F10" s="948">
        <v>33593</v>
      </c>
      <c r="G10" s="894">
        <f>G8+G9</f>
        <v>18717.900000000001</v>
      </c>
      <c r="H10" s="894">
        <f>H8+H9</f>
        <v>14875.099999999999</v>
      </c>
    </row>
    <row r="11" spans="1:8" ht="15" hidden="1" customHeight="1">
      <c r="A11" s="992" t="s">
        <v>427</v>
      </c>
      <c r="B11" s="1015"/>
      <c r="C11" s="1015"/>
      <c r="D11" s="1015"/>
      <c r="E11" s="1015"/>
      <c r="F11" s="892"/>
      <c r="G11" s="491"/>
      <c r="H11" s="491"/>
    </row>
    <row r="12" spans="1:8" ht="15" hidden="1" customHeight="1">
      <c r="A12" s="1006" t="s">
        <v>417</v>
      </c>
      <c r="B12" s="1006"/>
      <c r="C12" s="1006"/>
      <c r="D12" s="1006"/>
      <c r="E12" s="1006"/>
      <c r="F12" s="892">
        <f>F23/F10/12</f>
        <v>29.399999999999995</v>
      </c>
      <c r="G12" s="945">
        <v>29.4</v>
      </c>
      <c r="H12" s="945">
        <v>29.4</v>
      </c>
    </row>
    <row r="13" spans="1:8" ht="15" hidden="1" customHeight="1">
      <c r="A13" s="1006" t="s">
        <v>418</v>
      </c>
      <c r="B13" s="1006"/>
      <c r="C13" s="1006"/>
      <c r="D13" s="1006"/>
      <c r="E13" s="1006"/>
      <c r="F13" s="892">
        <f>F24/F10/12</f>
        <v>9.7448288631560143</v>
      </c>
      <c r="G13" s="491">
        <v>7.15</v>
      </c>
      <c r="H13" s="491">
        <v>13.01</v>
      </c>
    </row>
    <row r="14" spans="1:8" ht="15" hidden="1" customHeight="1" thickBot="1">
      <c r="A14" s="1006" t="s">
        <v>419</v>
      </c>
      <c r="B14" s="1006"/>
      <c r="C14" s="1006"/>
      <c r="D14" s="1006"/>
      <c r="E14" s="1006"/>
      <c r="F14" s="892">
        <f>F25/F10/12</f>
        <v>7.3714767957610228</v>
      </c>
      <c r="G14" s="491">
        <v>7.77</v>
      </c>
      <c r="H14" s="491">
        <v>6.87</v>
      </c>
    </row>
    <row r="15" spans="1:8" ht="15" customHeight="1">
      <c r="A15" s="991" t="s">
        <v>437</v>
      </c>
      <c r="B15" s="991"/>
      <c r="C15" s="991"/>
      <c r="D15" s="991"/>
      <c r="E15" s="991"/>
      <c r="F15" s="892"/>
      <c r="G15" s="491"/>
      <c r="H15" s="491"/>
    </row>
    <row r="16" spans="1:8" ht="15" customHeight="1">
      <c r="A16" s="1005" t="s">
        <v>357</v>
      </c>
      <c r="B16" s="1005"/>
      <c r="C16" s="1005"/>
      <c r="D16" s="1005"/>
      <c r="E16" s="1005"/>
      <c r="F16" s="949">
        <f>F27/F10/12*2318.59/37.1</f>
        <v>876.13416036846002</v>
      </c>
      <c r="G16" s="895">
        <v>862.44</v>
      </c>
      <c r="H16" s="895">
        <v>893.69</v>
      </c>
    </row>
    <row r="17" spans="1:9" ht="15" customHeight="1">
      <c r="A17" s="1005" t="s">
        <v>358</v>
      </c>
      <c r="B17" s="1005"/>
      <c r="C17" s="1005"/>
      <c r="D17" s="1005"/>
      <c r="E17" s="1005"/>
      <c r="F17" s="949">
        <f>F28/26944.5</f>
        <v>85.420499916495004</v>
      </c>
      <c r="G17" s="895">
        <v>83.74</v>
      </c>
      <c r="H17" s="895">
        <v>87.35</v>
      </c>
    </row>
    <row r="18" spans="1:9" ht="6" customHeight="1">
      <c r="A18" s="669"/>
      <c r="B18" s="669"/>
      <c r="C18" s="669"/>
      <c r="D18" s="669"/>
      <c r="E18" s="669"/>
      <c r="F18" s="892"/>
      <c r="G18" s="491"/>
      <c r="H18" s="491"/>
      <c r="I18" s="343"/>
    </row>
    <row r="19" spans="1:9" s="670" customFormat="1" ht="12" thickBot="1">
      <c r="A19" s="883"/>
      <c r="B19" s="883" t="s">
        <v>160</v>
      </c>
      <c r="C19" s="883"/>
      <c r="D19" s="1007">
        <v>2311686</v>
      </c>
      <c r="E19" s="1007"/>
      <c r="F19" s="1007"/>
      <c r="G19" s="1008"/>
      <c r="H19" s="1008"/>
    </row>
    <row r="20" spans="1:9" s="7" customFormat="1" ht="15.75" thickBot="1">
      <c r="A20" s="1009"/>
      <c r="B20" s="1011" t="s">
        <v>158</v>
      </c>
      <c r="C20" s="658"/>
      <c r="D20" s="644" t="s">
        <v>348</v>
      </c>
      <c r="E20" s="885" t="s">
        <v>347</v>
      </c>
      <c r="F20" s="1026" t="s">
        <v>429</v>
      </c>
      <c r="G20" s="1003" t="s">
        <v>428</v>
      </c>
      <c r="H20" s="1004"/>
    </row>
    <row r="21" spans="1:9" s="7" customFormat="1" ht="22.5" customHeight="1" thickBot="1">
      <c r="A21" s="1010"/>
      <c r="B21" s="1012"/>
      <c r="C21" s="879"/>
      <c r="D21" s="879"/>
      <c r="E21" s="915"/>
      <c r="F21" s="1027"/>
      <c r="G21" s="943" t="s">
        <v>359</v>
      </c>
      <c r="H21" s="944" t="s">
        <v>356</v>
      </c>
    </row>
    <row r="22" spans="1:9" ht="30">
      <c r="A22" s="874">
        <v>1</v>
      </c>
      <c r="B22" s="663" t="s">
        <v>352</v>
      </c>
      <c r="C22" s="519"/>
      <c r="D22" s="519"/>
      <c r="E22" s="916"/>
      <c r="F22" s="928">
        <f>F23+F24+F25</f>
        <v>18751467.071999997</v>
      </c>
      <c r="G22" s="921">
        <f>G23+G24+G25</f>
        <v>9954927.9360000007</v>
      </c>
      <c r="H22" s="896">
        <f>H23+H24+H25</f>
        <v>8796539.1359999999</v>
      </c>
    </row>
    <row r="23" spans="1:9">
      <c r="A23" s="875"/>
      <c r="B23" s="872" t="s">
        <v>420</v>
      </c>
      <c r="C23" s="671"/>
      <c r="D23" s="1016" t="s">
        <v>439</v>
      </c>
      <c r="E23" s="1017"/>
      <c r="F23" s="929">
        <f>G23+H23</f>
        <v>11851610.399999999</v>
      </c>
      <c r="G23" s="922">
        <f>G12*G10*12</f>
        <v>6603675.1200000001</v>
      </c>
      <c r="H23" s="898">
        <f>H10*H12*12</f>
        <v>5247935.2799999993</v>
      </c>
    </row>
    <row r="24" spans="1:9">
      <c r="A24" s="875"/>
      <c r="B24" s="872" t="s">
        <v>421</v>
      </c>
      <c r="C24" s="671"/>
      <c r="D24" s="1022"/>
      <c r="E24" s="1023"/>
      <c r="F24" s="929">
        <f>G24+H24</f>
        <v>3928296.432</v>
      </c>
      <c r="G24" s="922">
        <f>G13*G10*12</f>
        <v>1605995.8200000003</v>
      </c>
      <c r="H24" s="898">
        <f>H13*H10*12</f>
        <v>2322300.6119999997</v>
      </c>
    </row>
    <row r="25" spans="1:9" ht="15.75" thickBot="1">
      <c r="A25" s="876"/>
      <c r="B25" s="873" t="s">
        <v>422</v>
      </c>
      <c r="C25" s="659"/>
      <c r="D25" s="1024"/>
      <c r="E25" s="1025"/>
      <c r="F25" s="930">
        <f>G25+H25</f>
        <v>2971560.24</v>
      </c>
      <c r="G25" s="923">
        <f>G10*G14*12</f>
        <v>1745256.9960000003</v>
      </c>
      <c r="H25" s="900">
        <f>H10*H14*12</f>
        <v>1226303.2439999999</v>
      </c>
    </row>
    <row r="26" spans="1:9" s="7" customFormat="1">
      <c r="A26" s="877">
        <v>2</v>
      </c>
      <c r="B26" s="661" t="s">
        <v>163</v>
      </c>
      <c r="C26" s="661"/>
      <c r="D26" s="661"/>
      <c r="E26" s="917"/>
      <c r="F26" s="931"/>
      <c r="G26" s="924"/>
      <c r="H26" s="902"/>
    </row>
    <row r="27" spans="1:9" ht="12.95" customHeight="1">
      <c r="A27" s="875"/>
      <c r="B27" s="678" t="s">
        <v>164</v>
      </c>
      <c r="C27" s="657"/>
      <c r="D27" s="1016" t="s">
        <v>436</v>
      </c>
      <c r="E27" s="1017"/>
      <c r="F27" s="929">
        <f>G27+H27</f>
        <v>5651329.1279999996</v>
      </c>
      <c r="G27" s="922">
        <f>13.78*G10*12</f>
        <v>3095191.9440000001</v>
      </c>
      <c r="H27" s="898">
        <f>14.32*H10*12</f>
        <v>2556137.1839999994</v>
      </c>
    </row>
    <row r="28" spans="1:9" ht="12.95" customHeight="1">
      <c r="A28" s="875"/>
      <c r="B28" s="678" t="s">
        <v>166</v>
      </c>
      <c r="C28" s="657"/>
      <c r="D28" s="1018"/>
      <c r="E28" s="1019"/>
      <c r="F28" s="929">
        <f t="shared" ref="F28:F35" si="0">G28+H28</f>
        <v>2301612.6599999997</v>
      </c>
      <c r="G28" s="922">
        <f>14401.5*G17</f>
        <v>1205981.6099999999</v>
      </c>
      <c r="H28" s="898">
        <f>12543*H17</f>
        <v>1095631.0499999998</v>
      </c>
    </row>
    <row r="29" spans="1:9" ht="12.95" customHeight="1">
      <c r="A29" s="875"/>
      <c r="B29" s="678" t="s">
        <v>168</v>
      </c>
      <c r="C29" s="657"/>
      <c r="D29" s="677" t="s">
        <v>349</v>
      </c>
      <c r="E29" s="918">
        <v>38.700000000000003</v>
      </c>
      <c r="F29" s="929">
        <f t="shared" si="0"/>
        <v>1723821.0660000001</v>
      </c>
      <c r="G29" s="922">
        <f>23145.14*E29</f>
        <v>895716.91800000006</v>
      </c>
      <c r="H29" s="898">
        <f>21398.04*E29</f>
        <v>828104.14800000004</v>
      </c>
    </row>
    <row r="30" spans="1:9" ht="12.95" customHeight="1">
      <c r="A30" s="875"/>
      <c r="B30" s="678" t="s">
        <v>170</v>
      </c>
      <c r="C30" s="657"/>
      <c r="D30" s="677" t="s">
        <v>349</v>
      </c>
      <c r="E30" s="918">
        <v>27.47</v>
      </c>
      <c r="F30" s="929">
        <f t="shared" si="0"/>
        <v>1963765.4708</v>
      </c>
      <c r="G30" s="922">
        <f>37546.64*E30</f>
        <v>1031406.2008</v>
      </c>
      <c r="H30" s="898">
        <f>33941*E30</f>
        <v>932359.27</v>
      </c>
    </row>
    <row r="31" spans="1:9" ht="12.95" customHeight="1">
      <c r="A31" s="875"/>
      <c r="B31" s="678" t="s">
        <v>206</v>
      </c>
      <c r="C31" s="657"/>
      <c r="D31" s="677" t="s">
        <v>351</v>
      </c>
      <c r="E31" s="918">
        <v>112.32</v>
      </c>
      <c r="F31" s="929">
        <f t="shared" si="0"/>
        <v>393569.28000000003</v>
      </c>
      <c r="G31" s="922">
        <f>162*112.32*12</f>
        <v>218350.08000000002</v>
      </c>
      <c r="H31" s="898">
        <f>130*112.32*12</f>
        <v>175219.19999999998</v>
      </c>
    </row>
    <row r="32" spans="1:9" ht="12.95" customHeight="1">
      <c r="A32" s="875"/>
      <c r="B32" s="678" t="s">
        <v>205</v>
      </c>
      <c r="C32" s="657"/>
      <c r="D32" s="677" t="s">
        <v>351</v>
      </c>
      <c r="E32" s="918">
        <v>149</v>
      </c>
      <c r="F32" s="929">
        <f t="shared" si="0"/>
        <v>989904</v>
      </c>
      <c r="G32" s="922">
        <f>(269*(149+179)/2+20*(149+179)/4)*12</f>
        <v>549072</v>
      </c>
      <c r="H32" s="898">
        <f>((252-20-16)*(149+179)/2+16*(149+179)/4)*12</f>
        <v>440832</v>
      </c>
    </row>
    <row r="33" spans="1:10" ht="12.95" customHeight="1">
      <c r="A33" s="875"/>
      <c r="B33" s="678" t="s">
        <v>62</v>
      </c>
      <c r="C33" s="657"/>
      <c r="D33" s="677" t="s">
        <v>351</v>
      </c>
      <c r="E33" s="918">
        <v>30</v>
      </c>
      <c r="F33" s="929"/>
      <c r="G33" s="922">
        <f>315*30*12</f>
        <v>113400</v>
      </c>
      <c r="H33" s="898">
        <f>252*30*12</f>
        <v>90720</v>
      </c>
    </row>
    <row r="34" spans="1:10" ht="12.95" customHeight="1">
      <c r="A34" s="875"/>
      <c r="B34" s="678" t="s">
        <v>174</v>
      </c>
      <c r="C34" s="657"/>
      <c r="D34" s="677" t="s">
        <v>350</v>
      </c>
      <c r="E34" s="918"/>
      <c r="F34" s="929">
        <f t="shared" si="0"/>
        <v>385913</v>
      </c>
      <c r="G34" s="922"/>
      <c r="H34" s="898">
        <v>385913</v>
      </c>
    </row>
    <row r="35" spans="1:10" ht="12.95" customHeight="1" thickBot="1">
      <c r="A35" s="875"/>
      <c r="B35" s="678" t="s">
        <v>362</v>
      </c>
      <c r="C35" s="657"/>
      <c r="D35" s="677" t="s">
        <v>350</v>
      </c>
      <c r="E35" s="918"/>
      <c r="F35" s="929">
        <f t="shared" si="0"/>
        <v>84000</v>
      </c>
      <c r="G35" s="922">
        <f>84000*0.554</f>
        <v>46536.000000000007</v>
      </c>
      <c r="H35" s="898">
        <f>84000*0.446</f>
        <v>37464</v>
      </c>
    </row>
    <row r="36" spans="1:10">
      <c r="A36" s="874">
        <v>3</v>
      </c>
      <c r="B36" s="658" t="s">
        <v>423</v>
      </c>
      <c r="C36" s="519"/>
      <c r="D36" s="519"/>
      <c r="E36" s="919"/>
      <c r="F36" s="928">
        <f>F37+F38+F39</f>
        <v>518000</v>
      </c>
      <c r="G36" s="921">
        <f>G37+G38+G39</f>
        <v>518000</v>
      </c>
      <c r="H36" s="378"/>
    </row>
    <row r="37" spans="1:10" ht="26.25">
      <c r="A37" s="263"/>
      <c r="B37" s="869" t="s">
        <v>366</v>
      </c>
      <c r="C37" s="657"/>
      <c r="D37" s="657"/>
      <c r="E37" s="918"/>
      <c r="F37" s="932">
        <v>148000</v>
      </c>
      <c r="G37" s="925">
        <v>148000</v>
      </c>
      <c r="H37" s="380"/>
    </row>
    <row r="38" spans="1:10">
      <c r="A38" s="263"/>
      <c r="B38" s="870" t="s">
        <v>288</v>
      </c>
      <c r="C38" s="657"/>
      <c r="D38" s="657"/>
      <c r="E38" s="918"/>
      <c r="F38" s="932">
        <v>200000</v>
      </c>
      <c r="G38" s="925">
        <v>200000</v>
      </c>
      <c r="H38" s="380"/>
    </row>
    <row r="39" spans="1:10" ht="27" thickBot="1">
      <c r="A39" s="326"/>
      <c r="B39" s="871" t="s">
        <v>365</v>
      </c>
      <c r="C39" s="659"/>
      <c r="D39" s="659"/>
      <c r="E39" s="920"/>
      <c r="F39" s="933">
        <v>170000</v>
      </c>
      <c r="G39" s="926">
        <v>170000</v>
      </c>
      <c r="H39" s="903"/>
    </row>
    <row r="40" spans="1:10" s="7" customFormat="1" ht="15.75" thickBot="1">
      <c r="A40" s="125"/>
      <c r="B40" s="890" t="s">
        <v>177</v>
      </c>
      <c r="C40" s="890"/>
      <c r="D40" s="890"/>
      <c r="E40" s="890"/>
      <c r="F40" s="284">
        <f>F22+F27+F28+F29+F30+F31+F33++F34+F32+F35+F36</f>
        <v>32763381.676799998</v>
      </c>
      <c r="G40" s="927">
        <f>G36+G33+G32+G31+G30+G29+G28+G27+G22</f>
        <v>17582046.6888</v>
      </c>
      <c r="H40" s="904">
        <f>H22+H27+H28+H29+H30+H31+H33++H34+H32+H35</f>
        <v>15338918.988</v>
      </c>
      <c r="I40" s="665"/>
      <c r="J40" s="665"/>
    </row>
    <row r="41" spans="1:10" s="7" customFormat="1" ht="8.25" customHeight="1" thickBot="1">
      <c r="A41" s="496"/>
      <c r="B41" s="496"/>
      <c r="C41" s="496"/>
      <c r="D41" s="496"/>
      <c r="E41" s="496"/>
      <c r="F41" s="495"/>
      <c r="G41" s="905"/>
      <c r="H41" s="905"/>
      <c r="I41" s="665"/>
      <c r="J41" s="665"/>
    </row>
    <row r="42" spans="1:10" s="7" customFormat="1" ht="15.75" thickBot="1">
      <c r="A42" s="1030"/>
      <c r="B42" s="887"/>
      <c r="C42" s="886"/>
      <c r="D42" s="756"/>
      <c r="E42" s="934"/>
      <c r="F42" s="1028" t="s">
        <v>364</v>
      </c>
      <c r="G42" s="1020" t="s">
        <v>363</v>
      </c>
      <c r="H42" s="1021"/>
      <c r="I42" s="665"/>
      <c r="J42" s="665"/>
    </row>
    <row r="43" spans="1:10" s="7" customFormat="1" ht="15.75" thickBot="1">
      <c r="A43" s="1031"/>
      <c r="B43" s="891" t="s">
        <v>178</v>
      </c>
      <c r="C43" s="888" t="s">
        <v>179</v>
      </c>
      <c r="D43" s="889" t="s">
        <v>348</v>
      </c>
      <c r="E43" s="935" t="s">
        <v>347</v>
      </c>
      <c r="F43" s="1029"/>
      <c r="G43" s="906" t="str">
        <f>G21</f>
        <v>Г. Курина 44</v>
      </c>
      <c r="H43" s="907" t="str">
        <f>H21</f>
        <v>Кастан. 51</v>
      </c>
    </row>
    <row r="44" spans="1:10" s="7" customFormat="1" ht="30">
      <c r="A44" s="660">
        <v>1</v>
      </c>
      <c r="B44" s="884" t="s">
        <v>353</v>
      </c>
      <c r="C44" s="661"/>
      <c r="D44" s="661"/>
      <c r="E44" s="917"/>
      <c r="F44" s="928">
        <f>F45+F46+F47</f>
        <v>18751467.071999997</v>
      </c>
      <c r="G44" s="901">
        <f>G45+G46+G47</f>
        <v>9954927.9360000007</v>
      </c>
      <c r="H44" s="902">
        <f>H45+H46+H47</f>
        <v>8796539.1359999999</v>
      </c>
    </row>
    <row r="45" spans="1:10">
      <c r="A45" s="263"/>
      <c r="B45" s="676" t="s">
        <v>424</v>
      </c>
      <c r="C45" s="657"/>
      <c r="D45" s="657"/>
      <c r="E45" s="918"/>
      <c r="F45" s="929">
        <f t="shared" ref="F45:H47" si="1">F23</f>
        <v>11851610.399999999</v>
      </c>
      <c r="G45" s="897">
        <f t="shared" si="1"/>
        <v>6603675.1200000001</v>
      </c>
      <c r="H45" s="908">
        <f t="shared" si="1"/>
        <v>5247935.2799999993</v>
      </c>
    </row>
    <row r="46" spans="1:10">
      <c r="A46" s="263"/>
      <c r="B46" s="678" t="s">
        <v>425</v>
      </c>
      <c r="C46" s="657"/>
      <c r="D46" s="657"/>
      <c r="E46" s="918"/>
      <c r="F46" s="929">
        <f t="shared" si="1"/>
        <v>3928296.432</v>
      </c>
      <c r="G46" s="897">
        <f t="shared" si="1"/>
        <v>1605995.8200000003</v>
      </c>
      <c r="H46" s="898">
        <f t="shared" si="1"/>
        <v>2322300.6119999997</v>
      </c>
    </row>
    <row r="47" spans="1:10" ht="15.75" thickBot="1">
      <c r="A47" s="675"/>
      <c r="B47" s="679" t="s">
        <v>367</v>
      </c>
      <c r="C47" s="659"/>
      <c r="D47" s="662"/>
      <c r="E47" s="936"/>
      <c r="F47" s="930">
        <f t="shared" si="1"/>
        <v>2971560.24</v>
      </c>
      <c r="G47" s="899">
        <f t="shared" si="1"/>
        <v>1745256.9960000003</v>
      </c>
      <c r="H47" s="900">
        <f t="shared" si="1"/>
        <v>1226303.2439999999</v>
      </c>
    </row>
    <row r="48" spans="1:10">
      <c r="A48" s="682">
        <v>2</v>
      </c>
      <c r="B48" s="661" t="s">
        <v>183</v>
      </c>
      <c r="C48" s="683"/>
      <c r="D48" s="683"/>
      <c r="E48" s="937"/>
      <c r="F48" s="931"/>
      <c r="G48" s="897"/>
      <c r="H48" s="898"/>
    </row>
    <row r="49" spans="1:10" ht="12.95" customHeight="1">
      <c r="A49" s="263"/>
      <c r="B49" s="678" t="s">
        <v>360</v>
      </c>
      <c r="C49" s="657">
        <v>1131730.8631018416</v>
      </c>
      <c r="D49" s="657"/>
      <c r="E49" s="918"/>
      <c r="F49" s="929">
        <f>G49+H49</f>
        <v>6202172.4363199994</v>
      </c>
      <c r="G49" s="897">
        <f>(560350+105340)*4.837*1.06</f>
        <v>3413139.0817999998</v>
      </c>
      <c r="H49" s="898">
        <f>(459162+84804)*4.837*1.06</f>
        <v>2789033.3545200001</v>
      </c>
    </row>
    <row r="50" spans="1:10" ht="12.95" customHeight="1">
      <c r="A50" s="263"/>
      <c r="B50" s="678" t="s">
        <v>185</v>
      </c>
      <c r="C50" s="657">
        <v>1222656.2014278329</v>
      </c>
      <c r="D50" s="657"/>
      <c r="E50" s="918"/>
      <c r="F50" s="929">
        <f t="shared" ref="F50:F55" si="2">G50+H50</f>
        <v>85731.182860000001</v>
      </c>
      <c r="G50" s="897">
        <f>85731*0.554</f>
        <v>47494.974000000002</v>
      </c>
      <c r="H50" s="898">
        <f>85731.41*0.446</f>
        <v>38236.208859999999</v>
      </c>
    </row>
    <row r="51" spans="1:10" ht="12.95" customHeight="1">
      <c r="A51" s="263"/>
      <c r="B51" s="678" t="s">
        <v>186</v>
      </c>
      <c r="C51" s="657">
        <v>75014</v>
      </c>
      <c r="D51" s="677" t="s">
        <v>349</v>
      </c>
      <c r="E51" s="918">
        <v>38.700000000000003</v>
      </c>
      <c r="F51" s="929">
        <f t="shared" si="2"/>
        <v>2766546.9000000004</v>
      </c>
      <c r="G51" s="897">
        <f>37546*E51</f>
        <v>1453030.2000000002</v>
      </c>
      <c r="H51" s="898">
        <f>33941*E51</f>
        <v>1313516.7000000002</v>
      </c>
    </row>
    <row r="52" spans="1:10" ht="12.95" customHeight="1">
      <c r="A52" s="263"/>
      <c r="B52" s="678" t="s">
        <v>187</v>
      </c>
      <c r="C52" s="657">
        <v>75014</v>
      </c>
      <c r="D52" s="677" t="s">
        <v>349</v>
      </c>
      <c r="E52" s="918">
        <v>27.47</v>
      </c>
      <c r="F52" s="929">
        <f t="shared" si="2"/>
        <v>1963765.4708</v>
      </c>
      <c r="G52" s="897">
        <f>G30</f>
        <v>1031406.2008</v>
      </c>
      <c r="H52" s="898">
        <f>H30</f>
        <v>932359.27</v>
      </c>
    </row>
    <row r="53" spans="1:10" ht="12.95" customHeight="1">
      <c r="A53" s="263"/>
      <c r="B53" s="678" t="s">
        <v>188</v>
      </c>
      <c r="C53" s="657"/>
      <c r="D53" s="657"/>
      <c r="E53" s="918"/>
      <c r="F53" s="929">
        <f t="shared" si="2"/>
        <v>519563.99999999994</v>
      </c>
      <c r="G53" s="897">
        <f>519564*55.4%</f>
        <v>287838.45599999995</v>
      </c>
      <c r="H53" s="898">
        <f>519564*44.6%</f>
        <v>231725.54399999999</v>
      </c>
    </row>
    <row r="54" spans="1:10" ht="12.95" customHeight="1">
      <c r="A54" s="263"/>
      <c r="B54" s="678" t="s">
        <v>189</v>
      </c>
      <c r="C54" s="657"/>
      <c r="D54" s="657"/>
      <c r="E54" s="918"/>
      <c r="F54" s="929">
        <f t="shared" si="2"/>
        <v>1587593.28</v>
      </c>
      <c r="G54" s="897">
        <f>G31+G32+G33</f>
        <v>880822.08000000007</v>
      </c>
      <c r="H54" s="898">
        <f>H31+H32+H33</f>
        <v>706771.2</v>
      </c>
    </row>
    <row r="55" spans="1:10" ht="12.95" customHeight="1" thickBot="1">
      <c r="A55" s="536"/>
      <c r="B55" s="878" t="s">
        <v>190</v>
      </c>
      <c r="C55" s="537"/>
      <c r="D55" s="537"/>
      <c r="E55" s="938"/>
      <c r="F55" s="941">
        <f t="shared" si="2"/>
        <v>385913</v>
      </c>
      <c r="G55" s="909"/>
      <c r="H55" s="910">
        <v>385913</v>
      </c>
    </row>
    <row r="56" spans="1:10" ht="15.75" thickBot="1">
      <c r="A56" s="33">
        <v>3</v>
      </c>
      <c r="B56" s="881" t="s">
        <v>426</v>
      </c>
      <c r="C56" s="882"/>
      <c r="D56" s="882"/>
      <c r="E56" s="939"/>
      <c r="F56" s="284">
        <f>H56</f>
        <v>0</v>
      </c>
      <c r="G56" s="911">
        <v>518000</v>
      </c>
      <c r="H56" s="911"/>
    </row>
    <row r="57" spans="1:10" ht="15.75" thickBot="1">
      <c r="A57" s="755"/>
      <c r="B57" s="879" t="s">
        <v>191</v>
      </c>
      <c r="C57" s="880"/>
      <c r="D57" s="880"/>
      <c r="E57" s="940"/>
      <c r="F57" s="942">
        <f>F44+F49+F50+F51+F52+F53+F54+F55+F56</f>
        <v>32262753.341979999</v>
      </c>
      <c r="G57" s="912">
        <f>G56+G55+G54+G53+G52+G51+G50+G49+G44</f>
        <v>17586658.928600002</v>
      </c>
      <c r="H57" s="913">
        <f>H56+H55+H54+H53+H52+H51+H50+H49+H44</f>
        <v>15194094.413380001</v>
      </c>
      <c r="J57" s="3"/>
    </row>
    <row r="58" spans="1:10">
      <c r="B58" s="684" t="s">
        <v>361</v>
      </c>
      <c r="C58" s="680"/>
      <c r="D58" s="680"/>
      <c r="E58" s="680"/>
      <c r="F58" s="893">
        <f>D19+F40-F57</f>
        <v>2812314.3348199986</v>
      </c>
      <c r="H58" s="914"/>
    </row>
  </sheetData>
  <mergeCells count="26">
    <mergeCell ref="A9:E9"/>
    <mergeCell ref="A10:E10"/>
    <mergeCell ref="A11:E11"/>
    <mergeCell ref="D27:E28"/>
    <mergeCell ref="G42:H42"/>
    <mergeCell ref="D23:E25"/>
    <mergeCell ref="F20:F21"/>
    <mergeCell ref="F42:F43"/>
    <mergeCell ref="A12:E12"/>
    <mergeCell ref="A42:A43"/>
    <mergeCell ref="G1:H1"/>
    <mergeCell ref="G2:H2"/>
    <mergeCell ref="F3:H3"/>
    <mergeCell ref="A5:H5"/>
    <mergeCell ref="G20:H20"/>
    <mergeCell ref="A16:E16"/>
    <mergeCell ref="A17:E17"/>
    <mergeCell ref="A15:E15"/>
    <mergeCell ref="A13:E13"/>
    <mergeCell ref="A14:E14"/>
    <mergeCell ref="D19:F19"/>
    <mergeCell ref="G19:H19"/>
    <mergeCell ref="A20:A21"/>
    <mergeCell ref="B20:B21"/>
    <mergeCell ref="A7:E7"/>
    <mergeCell ref="A8:E8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3"/>
  <sheetViews>
    <sheetView topLeftCell="A54" workbookViewId="0">
      <selection activeCell="B68" sqref="B68"/>
    </sheetView>
  </sheetViews>
  <sheetFormatPr defaultRowHeight="15"/>
  <cols>
    <col min="1" max="1" width="6.28515625" customWidth="1"/>
    <col min="2" max="2" width="62.42578125" customWidth="1"/>
    <col min="3" max="3" width="12.85546875" hidden="1" customWidth="1"/>
    <col min="4" max="4" width="17" customWidth="1"/>
    <col min="5" max="5" width="16.5703125" customWidth="1"/>
    <col min="6" max="6" width="9.5703125" customWidth="1"/>
    <col min="7" max="7" width="15.5703125" style="5" customWidth="1"/>
    <col min="8" max="8" width="17" style="5" customWidth="1"/>
    <col min="9" max="9" width="11.5703125" customWidth="1"/>
    <col min="10" max="10" width="8.7109375" customWidth="1"/>
    <col min="11" max="11" width="10.28515625" customWidth="1"/>
  </cols>
  <sheetData>
    <row r="1" spans="1:10" hidden="1">
      <c r="B1" s="1" t="s">
        <v>0</v>
      </c>
      <c r="C1" s="2"/>
      <c r="D1" s="3"/>
      <c r="F1" s="4"/>
    </row>
    <row r="2" spans="1:10" hidden="1">
      <c r="B2" s="1" t="s">
        <v>1</v>
      </c>
      <c r="C2" s="2"/>
      <c r="D2" s="3"/>
      <c r="F2" s="4"/>
    </row>
    <row r="3" spans="1:10" hidden="1">
      <c r="B3" s="1" t="s">
        <v>2</v>
      </c>
      <c r="C3" s="2"/>
      <c r="D3" s="3"/>
      <c r="F3" s="4"/>
    </row>
    <row r="4" spans="1:10" hidden="1">
      <c r="C4" s="6"/>
      <c r="F4" s="4"/>
    </row>
    <row r="5" spans="1:10" hidden="1">
      <c r="C5" s="6"/>
      <c r="F5" s="4"/>
    </row>
    <row r="6" spans="1:10" ht="14.25" customHeight="1">
      <c r="A6" s="7"/>
      <c r="B6" s="7" t="s">
        <v>3</v>
      </c>
      <c r="C6" s="8"/>
      <c r="D6" s="9"/>
      <c r="E6" s="10"/>
      <c r="F6" s="11"/>
    </row>
    <row r="7" spans="1:10">
      <c r="A7" s="7"/>
      <c r="B7" s="7" t="s">
        <v>301</v>
      </c>
      <c r="C7" s="8"/>
      <c r="D7" s="9"/>
      <c r="E7" s="10"/>
      <c r="F7" s="11"/>
    </row>
    <row r="8" spans="1:10">
      <c r="A8" s="7"/>
      <c r="B8" s="7"/>
      <c r="C8" s="8"/>
      <c r="D8" s="9"/>
      <c r="E8" s="10"/>
      <c r="F8" s="11"/>
    </row>
    <row r="9" spans="1:10">
      <c r="A9" s="7"/>
      <c r="B9" s="7"/>
      <c r="C9" s="8"/>
      <c r="D9" s="311" t="s">
        <v>4</v>
      </c>
      <c r="E9" s="13"/>
      <c r="F9" s="14"/>
      <c r="G9" s="316" t="s">
        <v>312</v>
      </c>
      <c r="H9" s="316"/>
      <c r="I9" s="317" t="s">
        <v>313</v>
      </c>
      <c r="J9" s="318"/>
    </row>
    <row r="10" spans="1:10">
      <c r="A10" s="7"/>
      <c r="B10" s="7"/>
      <c r="C10" s="8"/>
      <c r="D10" s="956" t="s">
        <v>5</v>
      </c>
      <c r="E10" s="957"/>
      <c r="F10" s="15">
        <v>31947</v>
      </c>
      <c r="G10" s="316">
        <f>32278.99-110.9</f>
        <v>32168.09</v>
      </c>
      <c r="H10" s="316"/>
      <c r="I10" s="318">
        <v>31935.8</v>
      </c>
      <c r="J10" s="319">
        <f>F10-I10</f>
        <v>11.200000000000728</v>
      </c>
    </row>
    <row r="11" spans="1:10">
      <c r="A11" s="7"/>
      <c r="B11" s="7"/>
      <c r="C11" s="8"/>
      <c r="D11" s="311" t="s">
        <v>6</v>
      </c>
      <c r="E11" s="312"/>
      <c r="F11" s="15">
        <f>1382.5+74.4+200.3</f>
        <v>1657.2</v>
      </c>
      <c r="G11" s="316">
        <v>1683.18</v>
      </c>
      <c r="H11" s="316"/>
      <c r="I11" s="318">
        <v>2036</v>
      </c>
      <c r="J11" s="318"/>
    </row>
    <row r="12" spans="1:10">
      <c r="A12" s="7"/>
      <c r="B12" s="7"/>
      <c r="C12" s="8"/>
      <c r="D12" s="956" t="s">
        <v>7</v>
      </c>
      <c r="E12" s="957"/>
      <c r="F12" s="15">
        <f>F11+F10</f>
        <v>33604.199999999997</v>
      </c>
      <c r="G12" s="316">
        <f>G11+G10</f>
        <v>33851.269999999997</v>
      </c>
      <c r="H12" s="320">
        <f>G12-F12</f>
        <v>247.06999999999971</v>
      </c>
      <c r="I12" s="318"/>
      <c r="J12" s="318"/>
    </row>
    <row r="13" spans="1:10" ht="27" customHeight="1">
      <c r="A13" s="7"/>
      <c r="B13" s="7"/>
      <c r="C13" s="8"/>
      <c r="D13" s="1035" t="s">
        <v>8</v>
      </c>
      <c r="E13" s="1035"/>
      <c r="F13" s="11">
        <f>F22</f>
        <v>45.311204509654551</v>
      </c>
      <c r="G13" s="316"/>
      <c r="H13" s="316"/>
      <c r="I13" s="318"/>
      <c r="J13" s="318"/>
    </row>
    <row r="14" spans="1:10">
      <c r="A14" s="7"/>
      <c r="B14" s="7" t="s">
        <v>9</v>
      </c>
      <c r="C14" s="8"/>
      <c r="E14" s="10"/>
      <c r="F14" s="11"/>
    </row>
    <row r="15" spans="1:10">
      <c r="A15" s="17" t="s">
        <v>10</v>
      </c>
      <c r="B15" s="17" t="s">
        <v>11</v>
      </c>
      <c r="C15" s="18" t="s">
        <v>12</v>
      </c>
      <c r="D15" s="17" t="s">
        <v>13</v>
      </c>
      <c r="E15" s="305" t="s">
        <v>212</v>
      </c>
      <c r="F15" s="11"/>
    </row>
    <row r="16" spans="1:10">
      <c r="A16" s="17" t="s">
        <v>14</v>
      </c>
      <c r="B16" s="17"/>
      <c r="C16" s="18" t="s">
        <v>15</v>
      </c>
      <c r="D16" s="312" t="s">
        <v>15</v>
      </c>
      <c r="E16" s="19"/>
      <c r="F16" s="11"/>
    </row>
    <row r="17" spans="1:11">
      <c r="A17" s="17" t="s">
        <v>16</v>
      </c>
      <c r="B17" s="17" t="s">
        <v>17</v>
      </c>
      <c r="C17" s="18"/>
      <c r="D17" s="312"/>
      <c r="E17" s="19"/>
      <c r="F17" s="11"/>
    </row>
    <row r="18" spans="1:11">
      <c r="A18" s="17" t="s">
        <v>18</v>
      </c>
      <c r="B18" s="17" t="s">
        <v>19</v>
      </c>
      <c r="C18" s="20">
        <f>D18*12</f>
        <v>17370684.605639208</v>
      </c>
      <c r="D18" s="21">
        <f>F13*F10</f>
        <v>1447557.050469934</v>
      </c>
      <c r="E18" s="192">
        <f>D18*12</f>
        <v>17370684.605639208</v>
      </c>
      <c r="F18" s="11"/>
    </row>
    <row r="19" spans="1:11">
      <c r="A19" s="17"/>
      <c r="B19" s="17" t="s">
        <v>20</v>
      </c>
      <c r="C19" s="20">
        <f>D19*12</f>
        <v>901076.73736079433</v>
      </c>
      <c r="D19" s="21">
        <f>F13*F11</f>
        <v>75089.728113399528</v>
      </c>
      <c r="E19" s="192">
        <f>D19*12</f>
        <v>901076.73736079433</v>
      </c>
      <c r="F19" s="11"/>
    </row>
    <row r="20" spans="1:11" ht="15.75" thickBot="1">
      <c r="A20" s="17"/>
      <c r="B20" s="17" t="s">
        <v>21</v>
      </c>
      <c r="C20" s="20">
        <f>C18+C19</f>
        <v>18271761.343000002</v>
      </c>
      <c r="D20" s="21">
        <f>D18+D19</f>
        <v>1522646.7785833336</v>
      </c>
      <c r="E20" s="192">
        <f>D20*12</f>
        <v>18271761.343000002</v>
      </c>
      <c r="F20" s="11"/>
      <c r="G20" s="308">
        <f>D22-G22</f>
        <v>8758081.628565304</v>
      </c>
      <c r="H20" s="308">
        <f>G20-H22</f>
        <v>0</v>
      </c>
    </row>
    <row r="21" spans="1:11" ht="61.5" customHeight="1" thickBot="1">
      <c r="A21" s="22"/>
      <c r="B21" s="23" t="s">
        <v>22</v>
      </c>
      <c r="C21" s="24" t="s">
        <v>23</v>
      </c>
      <c r="D21" s="25" t="s">
        <v>300</v>
      </c>
      <c r="E21" s="26" t="s">
        <v>299</v>
      </c>
      <c r="F21" s="27" t="s">
        <v>24</v>
      </c>
      <c r="G21" s="304" t="s">
        <v>25</v>
      </c>
      <c r="H21" s="303" t="s">
        <v>26</v>
      </c>
      <c r="I21" s="288" t="s">
        <v>214</v>
      </c>
      <c r="J21" s="288" t="s">
        <v>230</v>
      </c>
    </row>
    <row r="22" spans="1:11" ht="26.25" customHeight="1" thickBot="1">
      <c r="A22" s="28">
        <v>1</v>
      </c>
      <c r="B22" s="29" t="s">
        <v>27</v>
      </c>
      <c r="C22" s="30"/>
      <c r="D22" s="31">
        <f>D25+D36+D39+D45+D49+D77+D57+D44</f>
        <v>18271761.343000002</v>
      </c>
      <c r="E22" s="31">
        <f>E25+E36+E39+E45+E49+E77+E57+E44</f>
        <v>1522646.7785833334</v>
      </c>
      <c r="F22" s="32">
        <f>F25+F36+F39+F45+F49+F77+F57+F44</f>
        <v>45.311204509654551</v>
      </c>
      <c r="G22" s="31">
        <f>G25+G36+G39+G45+G49+G77+G57+G44</f>
        <v>9513679.7144346982</v>
      </c>
      <c r="H22" s="216">
        <f>H25+H36+H39+H45+H49+H77+H57+H44</f>
        <v>8758081.628565304</v>
      </c>
      <c r="I22" s="159"/>
      <c r="J22" s="312"/>
      <c r="K22" s="3"/>
    </row>
    <row r="23" spans="1:11" ht="34.5" customHeight="1" thickBot="1">
      <c r="A23" s="33" t="s">
        <v>28</v>
      </c>
      <c r="B23" s="34" t="s">
        <v>236</v>
      </c>
      <c r="C23" s="35"/>
      <c r="D23" s="36"/>
      <c r="E23" s="36"/>
      <c r="F23" s="37"/>
      <c r="G23" s="38"/>
      <c r="H23" s="287"/>
      <c r="I23" s="159"/>
      <c r="J23" s="312"/>
    </row>
    <row r="24" spans="1:11" ht="11.25" customHeight="1">
      <c r="A24" s="28"/>
      <c r="B24" s="241"/>
      <c r="C24" s="242"/>
      <c r="D24" s="243"/>
      <c r="E24" s="243"/>
      <c r="F24" s="244"/>
      <c r="G24" s="245"/>
      <c r="H24" s="245"/>
      <c r="I24" s="60"/>
    </row>
    <row r="25" spans="1:11" ht="18" customHeight="1" thickBot="1">
      <c r="A25" s="28"/>
      <c r="B25" s="39" t="s">
        <v>256</v>
      </c>
      <c r="C25" s="40"/>
      <c r="D25" s="41">
        <f>SUM(D26:D35)</f>
        <v>2427850</v>
      </c>
      <c r="E25" s="41">
        <f t="shared" ref="E25:H25" si="0">SUM(E26:E35)</f>
        <v>202320.83333333334</v>
      </c>
      <c r="F25" s="42">
        <f t="shared" si="0"/>
        <v>6.0207007854176968</v>
      </c>
      <c r="G25" s="41">
        <f t="shared" si="0"/>
        <v>1175504.8999999999</v>
      </c>
      <c r="H25" s="289">
        <f t="shared" si="0"/>
        <v>1252345.1000000001</v>
      </c>
      <c r="I25" s="159"/>
      <c r="J25" s="312" t="s">
        <v>307</v>
      </c>
    </row>
    <row r="26" spans="1:11" ht="30.75" customHeight="1">
      <c r="A26" s="43" t="s">
        <v>231</v>
      </c>
      <c r="B26" s="44" t="s">
        <v>253</v>
      </c>
      <c r="C26" s="45" t="s">
        <v>30</v>
      </c>
      <c r="D26" s="46">
        <v>360000</v>
      </c>
      <c r="E26" s="47">
        <f t="shared" ref="E26:E35" si="1">D26/12</f>
        <v>30000</v>
      </c>
      <c r="F26" s="48">
        <f>E26/F12</f>
        <v>0.892745549663435</v>
      </c>
      <c r="G26" s="49">
        <f t="shared" ref="G26:G33" si="2">D26*55.4%</f>
        <v>199439.99999999997</v>
      </c>
      <c r="H26" s="83">
        <f t="shared" ref="H26:H33" si="3">D26-G26</f>
        <v>160560.00000000003</v>
      </c>
      <c r="I26" s="159"/>
      <c r="J26" s="169"/>
      <c r="K26" s="50"/>
    </row>
    <row r="27" spans="1:11" ht="30.75" customHeight="1">
      <c r="A27" s="51" t="s">
        <v>29</v>
      </c>
      <c r="B27" s="52" t="s">
        <v>255</v>
      </c>
      <c r="C27" s="53" t="s">
        <v>32</v>
      </c>
      <c r="D27" s="54">
        <v>40000</v>
      </c>
      <c r="E27" s="46">
        <f t="shared" si="1"/>
        <v>3333.3333333333335</v>
      </c>
      <c r="F27" s="48">
        <f>E27/F12</f>
        <v>9.9193949962603889E-2</v>
      </c>
      <c r="G27" s="49">
        <f t="shared" si="2"/>
        <v>22159.999999999996</v>
      </c>
      <c r="H27" s="49">
        <f t="shared" si="3"/>
        <v>17840.000000000004</v>
      </c>
      <c r="I27" s="294" t="s">
        <v>89</v>
      </c>
      <c r="J27" s="169"/>
      <c r="K27" s="50"/>
    </row>
    <row r="28" spans="1:11" ht="26.25" customHeight="1">
      <c r="A28" s="51" t="s">
        <v>31</v>
      </c>
      <c r="B28" s="52" t="s">
        <v>254</v>
      </c>
      <c r="C28" s="55" t="s">
        <v>34</v>
      </c>
      <c r="D28" s="54">
        <v>60000</v>
      </c>
      <c r="E28" s="47">
        <f t="shared" si="1"/>
        <v>5000</v>
      </c>
      <c r="F28" s="48">
        <f>E28/F12</f>
        <v>0.14879092494390583</v>
      </c>
      <c r="G28" s="49">
        <f>D28*55.4%</f>
        <v>33239.999999999993</v>
      </c>
      <c r="H28" s="49">
        <f>D28-G28</f>
        <v>26760.000000000007</v>
      </c>
      <c r="I28" s="159" t="s">
        <v>90</v>
      </c>
      <c r="J28" s="312"/>
    </row>
    <row r="29" spans="1:11" ht="32.25" customHeight="1">
      <c r="A29" s="56" t="s">
        <v>33</v>
      </c>
      <c r="B29" s="52" t="s">
        <v>36</v>
      </c>
      <c r="D29" s="54">
        <v>45000</v>
      </c>
      <c r="E29" s="47">
        <f t="shared" si="1"/>
        <v>3750</v>
      </c>
      <c r="F29" s="48">
        <f>E29/F12</f>
        <v>0.11159319370792938</v>
      </c>
      <c r="G29" s="49">
        <f t="shared" si="2"/>
        <v>24929.999999999996</v>
      </c>
      <c r="H29" s="49">
        <f t="shared" si="3"/>
        <v>20070.000000000004</v>
      </c>
      <c r="I29" s="159"/>
      <c r="J29" s="312"/>
    </row>
    <row r="30" spans="1:11" ht="21.75" customHeight="1">
      <c r="A30" s="51" t="s">
        <v>35</v>
      </c>
      <c r="B30" s="52" t="s">
        <v>257</v>
      </c>
      <c r="C30" s="55" t="s">
        <v>38</v>
      </c>
      <c r="D30" s="54">
        <v>45000</v>
      </c>
      <c r="E30" s="47">
        <f t="shared" si="1"/>
        <v>3750</v>
      </c>
      <c r="F30" s="48">
        <f>E30/F12</f>
        <v>0.11159319370792938</v>
      </c>
      <c r="G30" s="49">
        <f t="shared" si="2"/>
        <v>24929.999999999996</v>
      </c>
      <c r="H30" s="49">
        <f t="shared" si="3"/>
        <v>20070.000000000004</v>
      </c>
      <c r="I30" s="159"/>
      <c r="J30" s="312"/>
    </row>
    <row r="31" spans="1:11" ht="21.75" customHeight="1">
      <c r="A31" s="51" t="s">
        <v>37</v>
      </c>
      <c r="B31" s="44" t="s">
        <v>262</v>
      </c>
      <c r="C31" s="55" t="s">
        <v>40</v>
      </c>
      <c r="D31" s="57">
        <v>45000</v>
      </c>
      <c r="E31" s="47">
        <f t="shared" si="1"/>
        <v>3750</v>
      </c>
      <c r="F31" s="48">
        <f>E31/F12</f>
        <v>0.11159319370792938</v>
      </c>
      <c r="G31" s="49">
        <f t="shared" si="2"/>
        <v>24929.999999999996</v>
      </c>
      <c r="H31" s="49">
        <f t="shared" si="3"/>
        <v>20070.000000000004</v>
      </c>
      <c r="I31" s="159" t="s">
        <v>232</v>
      </c>
      <c r="J31" s="312"/>
    </row>
    <row r="32" spans="1:11" ht="21.75" customHeight="1" thickBot="1">
      <c r="A32" s="51" t="s">
        <v>39</v>
      </c>
      <c r="B32" s="113" t="s">
        <v>223</v>
      </c>
      <c r="C32" s="84"/>
      <c r="D32" s="46">
        <v>81000</v>
      </c>
      <c r="E32" s="47">
        <f t="shared" si="1"/>
        <v>6750</v>
      </c>
      <c r="F32" s="48">
        <f>E32/F12</f>
        <v>0.20086774867427287</v>
      </c>
      <c r="G32" s="49"/>
      <c r="H32" s="49">
        <f t="shared" si="3"/>
        <v>81000</v>
      </c>
      <c r="I32" s="159" t="s">
        <v>88</v>
      </c>
      <c r="J32" s="312"/>
    </row>
    <row r="33" spans="1:11" ht="27" customHeight="1" thickBot="1">
      <c r="A33" s="85" t="s">
        <v>41</v>
      </c>
      <c r="B33" s="194" t="s">
        <v>45</v>
      </c>
      <c r="C33" s="59"/>
      <c r="D33" s="76">
        <f>45000*2*1.305*12</f>
        <v>1409400</v>
      </c>
      <c r="E33" s="195">
        <f t="shared" si="1"/>
        <v>117450</v>
      </c>
      <c r="F33" s="196">
        <f>E33/F12</f>
        <v>3.495098826932348</v>
      </c>
      <c r="G33" s="78">
        <f t="shared" si="2"/>
        <v>780807.59999999986</v>
      </c>
      <c r="H33" s="78">
        <f t="shared" si="3"/>
        <v>628592.40000000014</v>
      </c>
      <c r="I33" s="159"/>
      <c r="J33" s="312"/>
    </row>
    <row r="34" spans="1:11" ht="18" customHeight="1" thickBot="1">
      <c r="A34" s="313" t="s">
        <v>42</v>
      </c>
      <c r="B34" s="194" t="s">
        <v>309</v>
      </c>
      <c r="C34" s="314"/>
      <c r="D34" s="76">
        <v>225000</v>
      </c>
      <c r="E34" s="195">
        <f t="shared" si="1"/>
        <v>18750</v>
      </c>
      <c r="F34" s="196">
        <f>E34/F12</f>
        <v>0.55796596853964686</v>
      </c>
      <c r="G34" s="78"/>
      <c r="H34" s="78">
        <v>225000</v>
      </c>
      <c r="I34" s="159"/>
      <c r="J34" s="312"/>
    </row>
    <row r="35" spans="1:11" ht="27" customHeight="1">
      <c r="A35" s="159"/>
      <c r="B35" s="193" t="s">
        <v>275</v>
      </c>
      <c r="C35" s="251"/>
      <c r="D35" s="76">
        <f>45000*2*1.305</f>
        <v>117450</v>
      </c>
      <c r="E35" s="195">
        <f t="shared" si="1"/>
        <v>9787.5</v>
      </c>
      <c r="F35" s="196">
        <f>E35/F12</f>
        <v>0.29125823557769565</v>
      </c>
      <c r="G35" s="78">
        <f t="shared" ref="G35" si="4">D35*55.4%</f>
        <v>65067.299999999996</v>
      </c>
      <c r="H35" s="78">
        <f t="shared" ref="H35" si="5">D35-G35</f>
        <v>52382.700000000004</v>
      </c>
      <c r="I35" s="159"/>
      <c r="J35" s="312"/>
    </row>
    <row r="36" spans="1:11" s="7" customFormat="1" ht="20.25" thickBot="1">
      <c r="A36" s="246"/>
      <c r="B36" s="247" t="s">
        <v>47</v>
      </c>
      <c r="C36" s="248"/>
      <c r="D36" s="249">
        <f>SUM(D37:D38)</f>
        <v>1404995</v>
      </c>
      <c r="E36" s="249">
        <f t="shared" ref="E36:H36" si="6">SUM(E37:E38)</f>
        <v>117082.91666666667</v>
      </c>
      <c r="F36" s="250">
        <f t="shared" si="6"/>
        <v>3.4841750931927162</v>
      </c>
      <c r="G36" s="249">
        <f t="shared" si="6"/>
        <v>778097.22999999986</v>
      </c>
      <c r="H36" s="249">
        <f t="shared" si="6"/>
        <v>626897.77000000014</v>
      </c>
      <c r="I36" s="295"/>
      <c r="J36" s="17" t="s">
        <v>274</v>
      </c>
    </row>
    <row r="37" spans="1:11" s="190" customFormat="1" ht="29.25" customHeight="1">
      <c r="A37" s="197" t="s">
        <v>42</v>
      </c>
      <c r="B37" s="44" t="s">
        <v>49</v>
      </c>
      <c r="C37" s="198" t="s">
        <v>50</v>
      </c>
      <c r="D37" s="57">
        <f>117045*11+112500</f>
        <v>1399995</v>
      </c>
      <c r="E37" s="47">
        <f>D37/12</f>
        <v>116666.25</v>
      </c>
      <c r="F37" s="189">
        <f>E37/F12</f>
        <v>3.4717758494473907</v>
      </c>
      <c r="G37" s="49">
        <f>D37*55.4%</f>
        <v>775597.22999999986</v>
      </c>
      <c r="H37" s="49">
        <f>D37-G37</f>
        <v>624397.77000000014</v>
      </c>
      <c r="I37" s="296"/>
      <c r="J37" s="297"/>
    </row>
    <row r="38" spans="1:11" s="190" customFormat="1" ht="21.75" customHeight="1" thickBot="1">
      <c r="A38" s="199" t="s">
        <v>43</v>
      </c>
      <c r="B38" s="200" t="s">
        <v>52</v>
      </c>
      <c r="C38" s="201" t="s">
        <v>38</v>
      </c>
      <c r="D38" s="122">
        <v>5000</v>
      </c>
      <c r="E38" s="77">
        <f>D38/12</f>
        <v>416.66666666666669</v>
      </c>
      <c r="F38" s="202">
        <f>E38/F12</f>
        <v>1.2399243745325486E-2</v>
      </c>
      <c r="G38" s="78">
        <v>2500</v>
      </c>
      <c r="H38" s="78">
        <v>2500</v>
      </c>
      <c r="I38" s="296"/>
      <c r="J38" s="297"/>
    </row>
    <row r="39" spans="1:11" s="7" customFormat="1" ht="19.5" customHeight="1" thickBot="1">
      <c r="A39" s="65"/>
      <c r="B39" s="203" t="s">
        <v>53</v>
      </c>
      <c r="C39" s="24"/>
      <c r="D39" s="68">
        <f>SUM(D40:D42)</f>
        <v>522000</v>
      </c>
      <c r="E39" s="68">
        <f t="shared" ref="E39:H39" si="7">SUM(E40:E42)</f>
        <v>43500</v>
      </c>
      <c r="F39" s="69">
        <f t="shared" si="7"/>
        <v>1.2944810470119807</v>
      </c>
      <c r="G39" s="68">
        <f t="shared" si="7"/>
        <v>289187.99999999994</v>
      </c>
      <c r="H39" s="290">
        <f t="shared" si="7"/>
        <v>232812.00000000003</v>
      </c>
      <c r="I39" s="295"/>
      <c r="J39" s="17" t="s">
        <v>274</v>
      </c>
    </row>
    <row r="40" spans="1:11" ht="33.75" customHeight="1">
      <c r="A40" s="43" t="s">
        <v>44</v>
      </c>
      <c r="B40" s="44" t="s">
        <v>55</v>
      </c>
      <c r="C40" s="45" t="s">
        <v>56</v>
      </c>
      <c r="D40" s="57">
        <f>36000*12</f>
        <v>432000</v>
      </c>
      <c r="E40" s="47">
        <f t="shared" ref="E40:E94" si="8">D40/12</f>
        <v>36000</v>
      </c>
      <c r="F40" s="48">
        <f>E40/F12</f>
        <v>1.0712946595961219</v>
      </c>
      <c r="G40" s="49">
        <f t="shared" ref="G40:G48" si="9">D40*55.4%</f>
        <v>239327.99999999997</v>
      </c>
      <c r="H40" s="49">
        <f t="shared" ref="H40:H48" si="10">D40-G40</f>
        <v>192672.00000000003</v>
      </c>
      <c r="I40" s="159"/>
      <c r="J40" s="312"/>
    </row>
    <row r="41" spans="1:11" ht="21.75" customHeight="1">
      <c r="A41" s="51" t="s">
        <v>46</v>
      </c>
      <c r="B41" s="52" t="s">
        <v>58</v>
      </c>
      <c r="C41" s="55" t="s">
        <v>59</v>
      </c>
      <c r="D41" s="61">
        <v>30000</v>
      </c>
      <c r="E41" s="47">
        <f>D41/12</f>
        <v>2500</v>
      </c>
      <c r="F41" s="48">
        <f>E41/F12</f>
        <v>7.4395462471952917E-2</v>
      </c>
      <c r="G41" s="49">
        <f>D41*55.4%</f>
        <v>16619.999999999996</v>
      </c>
      <c r="H41" s="49">
        <f>D41-G41</f>
        <v>13380.000000000004</v>
      </c>
      <c r="I41" s="159"/>
      <c r="J41" s="312"/>
    </row>
    <row r="42" spans="1:11" ht="19.5" customHeight="1" thickBot="1">
      <c r="A42" s="85" t="s">
        <v>48</v>
      </c>
      <c r="B42" s="205" t="s">
        <v>61</v>
      </c>
      <c r="C42" s="206" t="s">
        <v>59</v>
      </c>
      <c r="D42" s="122">
        <v>60000</v>
      </c>
      <c r="E42" s="77">
        <f t="shared" si="8"/>
        <v>5000</v>
      </c>
      <c r="F42" s="196">
        <f>E42/F12</f>
        <v>0.14879092494390583</v>
      </c>
      <c r="G42" s="78">
        <f t="shared" si="9"/>
        <v>33239.999999999993</v>
      </c>
      <c r="H42" s="78">
        <f t="shared" si="10"/>
        <v>26760.000000000007</v>
      </c>
      <c r="I42" s="159"/>
      <c r="J42" s="312"/>
    </row>
    <row r="43" spans="1:11" s="204" customFormat="1" ht="19.5" customHeight="1" thickBot="1">
      <c r="A43" s="207"/>
      <c r="B43" s="203" t="s">
        <v>62</v>
      </c>
      <c r="C43" s="208"/>
      <c r="D43" s="70"/>
      <c r="E43" s="209"/>
      <c r="F43" s="210"/>
      <c r="G43" s="211"/>
      <c r="H43" s="211"/>
      <c r="I43" s="298"/>
      <c r="J43" s="262"/>
    </row>
    <row r="44" spans="1:11" s="62" customFormat="1" ht="19.5" customHeight="1" thickBot="1">
      <c r="A44" s="212" t="s">
        <v>51</v>
      </c>
      <c r="B44" s="194" t="s">
        <v>213</v>
      </c>
      <c r="C44" s="213"/>
      <c r="D44" s="31">
        <f>13705*2+13705/25*30*10</f>
        <v>191870</v>
      </c>
      <c r="E44" s="214">
        <f>D44/12</f>
        <v>15989.166666666666</v>
      </c>
      <c r="F44" s="215">
        <f>E44/F12</f>
        <v>0.47580857948312016</v>
      </c>
      <c r="G44" s="216">
        <f>D44/9*5</f>
        <v>106594.44444444445</v>
      </c>
      <c r="H44" s="216">
        <f>D44/9*4</f>
        <v>85275.555555555562</v>
      </c>
      <c r="I44" s="299"/>
      <c r="J44" s="300"/>
      <c r="K44" s="62" t="s">
        <v>303</v>
      </c>
    </row>
    <row r="45" spans="1:11" ht="18.75" customHeight="1" thickBot="1">
      <c r="A45" s="65"/>
      <c r="B45" s="203" t="s">
        <v>63</v>
      </c>
      <c r="C45" s="24"/>
      <c r="D45" s="68">
        <f>SUM(D46:D48)</f>
        <v>649420</v>
      </c>
      <c r="E45" s="68">
        <f>SUM(E46:E48)</f>
        <v>54118.333333333336</v>
      </c>
      <c r="F45" s="69">
        <f>SUM(F46:F48)</f>
        <v>1.6104633746178556</v>
      </c>
      <c r="G45" s="68">
        <f>SUM(G46:G48)</f>
        <v>359778.67999999993</v>
      </c>
      <c r="H45" s="290">
        <f>SUM(H46:H48)</f>
        <v>289641.32000000007</v>
      </c>
      <c r="I45" s="159"/>
      <c r="J45" s="17" t="s">
        <v>274</v>
      </c>
    </row>
    <row r="46" spans="1:11" ht="21.75" customHeight="1">
      <c r="A46" s="43" t="s">
        <v>54</v>
      </c>
      <c r="B46" s="44" t="s">
        <v>64</v>
      </c>
      <c r="C46" s="45"/>
      <c r="D46" s="57">
        <v>40000</v>
      </c>
      <c r="E46" s="47">
        <f t="shared" si="8"/>
        <v>3333.3333333333335</v>
      </c>
      <c r="F46" s="48">
        <f>E46/F12</f>
        <v>9.9193949962603889E-2</v>
      </c>
      <c r="G46" s="49">
        <f t="shared" si="9"/>
        <v>22159.999999999996</v>
      </c>
      <c r="H46" s="49">
        <f t="shared" si="10"/>
        <v>17840.000000000004</v>
      </c>
      <c r="I46" s="159" t="s">
        <v>233</v>
      </c>
      <c r="J46" s="312"/>
    </row>
    <row r="47" spans="1:11" ht="18" customHeight="1">
      <c r="A47" s="51" t="s">
        <v>57</v>
      </c>
      <c r="B47" s="63" t="s">
        <v>65</v>
      </c>
      <c r="C47" s="64" t="s">
        <v>66</v>
      </c>
      <c r="D47" s="61">
        <v>20000</v>
      </c>
      <c r="E47" s="47">
        <f t="shared" si="8"/>
        <v>1666.6666666666667</v>
      </c>
      <c r="F47" s="48">
        <f>E47/F12</f>
        <v>4.9596974981301944E-2</v>
      </c>
      <c r="G47" s="49">
        <f t="shared" si="9"/>
        <v>11079.999999999998</v>
      </c>
      <c r="H47" s="49">
        <f t="shared" si="10"/>
        <v>8920.0000000000018</v>
      </c>
      <c r="I47" s="159"/>
      <c r="J47" s="312"/>
    </row>
    <row r="48" spans="1:11" ht="27" customHeight="1" thickBot="1">
      <c r="A48" s="51" t="s">
        <v>60</v>
      </c>
      <c r="B48" s="63" t="s">
        <v>67</v>
      </c>
      <c r="C48" s="64" t="s">
        <v>68</v>
      </c>
      <c r="D48" s="61">
        <v>589420</v>
      </c>
      <c r="E48" s="47">
        <f t="shared" si="8"/>
        <v>49118.333333333336</v>
      </c>
      <c r="F48" s="48">
        <f>E48/F12</f>
        <v>1.4616724496739497</v>
      </c>
      <c r="G48" s="49">
        <f t="shared" si="9"/>
        <v>326538.67999999993</v>
      </c>
      <c r="H48" s="49">
        <f t="shared" si="10"/>
        <v>262881.32000000007</v>
      </c>
      <c r="I48" s="159"/>
      <c r="J48" s="312"/>
    </row>
    <row r="49" spans="1:13" ht="40.5" customHeight="1" thickBot="1">
      <c r="A49" s="65" t="s">
        <v>69</v>
      </c>
      <c r="B49" s="66" t="s">
        <v>237</v>
      </c>
      <c r="C49" s="67"/>
      <c r="D49" s="254">
        <f>SUM(D50:D56)</f>
        <v>3002099.0430000001</v>
      </c>
      <c r="E49" s="254">
        <f t="shared" ref="E49:H49" si="11">SUM(E50:E56)</f>
        <v>250174.92025000002</v>
      </c>
      <c r="F49" s="254">
        <f t="shared" si="11"/>
        <v>7.4447515563530757</v>
      </c>
      <c r="G49" s="254">
        <f t="shared" si="11"/>
        <v>1663287.3142664442</v>
      </c>
      <c r="H49" s="291">
        <f t="shared" si="11"/>
        <v>1338811.7287335559</v>
      </c>
      <c r="I49" s="159"/>
      <c r="J49" s="312"/>
    </row>
    <row r="50" spans="1:13" ht="27.75" customHeight="1">
      <c r="A50" s="43" t="s">
        <v>70</v>
      </c>
      <c r="B50" s="44" t="s">
        <v>71</v>
      </c>
      <c r="C50" s="45" t="s">
        <v>72</v>
      </c>
      <c r="D50" s="57">
        <f>4830199.5*5%+0.02</f>
        <v>241509.995</v>
      </c>
      <c r="E50" s="47">
        <f t="shared" si="8"/>
        <v>20125.832916666666</v>
      </c>
      <c r="F50" s="48">
        <f>E50/F12</f>
        <v>0.59890825898746791</v>
      </c>
      <c r="G50" s="49">
        <f>D50*55.4%</f>
        <v>133796.53722999999</v>
      </c>
      <c r="H50" s="49">
        <f>D50-G50</f>
        <v>107713.45777000001</v>
      </c>
      <c r="I50" s="159"/>
      <c r="J50" s="312" t="s">
        <v>278</v>
      </c>
    </row>
    <row r="51" spans="1:13" ht="63.75" customHeight="1">
      <c r="A51" s="51" t="s">
        <v>73</v>
      </c>
      <c r="B51" s="63" t="s">
        <v>74</v>
      </c>
      <c r="C51" s="45" t="s">
        <v>75</v>
      </c>
      <c r="D51" s="61">
        <f>(33200+41165+10920+14368+34495)*12*1.302</f>
        <v>2095928.3520000002</v>
      </c>
      <c r="E51" s="47">
        <f>D51/12</f>
        <v>174660.69600000003</v>
      </c>
      <c r="F51" s="48">
        <f>E51/F12</f>
        <v>5.1975853018372717</v>
      </c>
      <c r="G51" s="49">
        <f>D51*55.4%</f>
        <v>1161144.3070079999</v>
      </c>
      <c r="H51" s="49">
        <f>D51-G51</f>
        <v>934784.04499200033</v>
      </c>
      <c r="I51" s="159" t="s">
        <v>224</v>
      </c>
      <c r="J51" s="312" t="s">
        <v>274</v>
      </c>
      <c r="M51" s="193"/>
    </row>
    <row r="52" spans="1:13" ht="29.25" customHeight="1">
      <c r="A52" s="51" t="s">
        <v>76</v>
      </c>
      <c r="B52" s="52" t="s">
        <v>77</v>
      </c>
      <c r="C52" s="64" t="s">
        <v>78</v>
      </c>
      <c r="D52" s="54">
        <v>60000</v>
      </c>
      <c r="E52" s="47">
        <f t="shared" si="8"/>
        <v>5000</v>
      </c>
      <c r="F52" s="48">
        <f>E52/F12</f>
        <v>0.14879092494390583</v>
      </c>
      <c r="G52" s="49">
        <f>D52*55.4%</f>
        <v>33239.999999999993</v>
      </c>
      <c r="H52" s="49">
        <f>D52-G52</f>
        <v>26760.000000000007</v>
      </c>
      <c r="I52" s="159"/>
      <c r="J52" s="312" t="s">
        <v>274</v>
      </c>
    </row>
    <row r="53" spans="1:13" ht="19.5" customHeight="1">
      <c r="A53" s="51" t="s">
        <v>91</v>
      </c>
      <c r="B53" s="71" t="s">
        <v>264</v>
      </c>
      <c r="C53" s="72"/>
      <c r="D53" s="61">
        <v>80000</v>
      </c>
      <c r="E53" s="47">
        <f t="shared" si="8"/>
        <v>6666.666666666667</v>
      </c>
      <c r="F53" s="82">
        <f>E53/F12</f>
        <v>0.19838789992520778</v>
      </c>
      <c r="G53" s="83">
        <f>D53/9*5</f>
        <v>44444.444444444445</v>
      </c>
      <c r="H53" s="83">
        <f>D53/9*4</f>
        <v>35555.555555555555</v>
      </c>
      <c r="I53" s="159" t="s">
        <v>229</v>
      </c>
      <c r="J53" s="312" t="s">
        <v>274</v>
      </c>
    </row>
    <row r="54" spans="1:13" ht="45.75" customHeight="1">
      <c r="A54" s="51" t="s">
        <v>79</v>
      </c>
      <c r="B54" s="71" t="s">
        <v>258</v>
      </c>
      <c r="C54" s="72" t="s">
        <v>80</v>
      </c>
      <c r="D54" s="54">
        <v>100000</v>
      </c>
      <c r="E54" s="47">
        <f t="shared" si="8"/>
        <v>8333.3333333333339</v>
      </c>
      <c r="F54" s="48">
        <f>E54/F12</f>
        <v>0.24798487490650975</v>
      </c>
      <c r="G54" s="49">
        <f>D54*55.4%</f>
        <v>55399.999999999993</v>
      </c>
      <c r="H54" s="49">
        <f>D54-G54</f>
        <v>44600.000000000007</v>
      </c>
      <c r="I54" s="159"/>
      <c r="J54" s="312" t="s">
        <v>274</v>
      </c>
    </row>
    <row r="55" spans="1:13" ht="21" customHeight="1">
      <c r="A55" s="73" t="s">
        <v>81</v>
      </c>
      <c r="B55" s="74" t="s">
        <v>82</v>
      </c>
      <c r="C55" s="75" t="s">
        <v>83</v>
      </c>
      <c r="D55" s="76">
        <v>250000</v>
      </c>
      <c r="E55" s="77">
        <f t="shared" si="8"/>
        <v>20833.333333333332</v>
      </c>
      <c r="F55" s="48">
        <f>E55/F12</f>
        <v>0.61996218726627428</v>
      </c>
      <c r="G55" s="78">
        <f>D55*55.4%</f>
        <v>138499.99999999997</v>
      </c>
      <c r="H55" s="78">
        <f>D55-G55</f>
        <v>111500.00000000003</v>
      </c>
      <c r="I55" s="159"/>
      <c r="J55" s="312" t="s">
        <v>274</v>
      </c>
    </row>
    <row r="56" spans="1:13" ht="21" customHeight="1" thickBot="1">
      <c r="A56" s="73"/>
      <c r="B56" s="193" t="s">
        <v>275</v>
      </c>
      <c r="C56" s="75"/>
      <c r="D56" s="76">
        <f>(33200+41165+10920+14368+34495)*1.302</f>
        <v>174660.696</v>
      </c>
      <c r="E56" s="77">
        <f>D56/12</f>
        <v>14555.057999999999</v>
      </c>
      <c r="F56" s="196">
        <f>E56/F12</f>
        <v>0.43313210848643918</v>
      </c>
      <c r="G56" s="78">
        <f>D56*55.4%</f>
        <v>96762.025583999988</v>
      </c>
      <c r="H56" s="78">
        <f>D56-G56</f>
        <v>77898.670416000008</v>
      </c>
      <c r="I56" s="159"/>
      <c r="J56" s="312"/>
    </row>
    <row r="57" spans="1:13" ht="23.25" customHeight="1" thickBot="1">
      <c r="A57" s="79" t="s">
        <v>84</v>
      </c>
      <c r="B57" s="80" t="s">
        <v>85</v>
      </c>
      <c r="C57" s="81"/>
      <c r="D57" s="70">
        <f>SUM(D58:D76)</f>
        <v>4958686</v>
      </c>
      <c r="E57" s="70">
        <f t="shared" ref="E57:H57" si="12">SUM(E58:E76)</f>
        <v>413223.83333333331</v>
      </c>
      <c r="F57" s="70">
        <f>SUM(F59:F76)</f>
        <v>12.296791274106612</v>
      </c>
      <c r="G57" s="70">
        <f t="shared" si="12"/>
        <v>2307607.0655238098</v>
      </c>
      <c r="H57" s="211">
        <f t="shared" si="12"/>
        <v>2651078.9344761902</v>
      </c>
      <c r="I57" s="159"/>
      <c r="J57" s="312"/>
    </row>
    <row r="58" spans="1:13" ht="22.5" customHeight="1" thickBot="1">
      <c r="A58" s="79"/>
      <c r="B58" s="222" t="s">
        <v>215</v>
      </c>
      <c r="C58" s="223"/>
      <c r="D58" s="224"/>
      <c r="E58" s="225"/>
      <c r="F58" s="226">
        <f>SUM(F59:F62)</f>
        <v>1.0464961721054711</v>
      </c>
      <c r="G58" s="227"/>
      <c r="H58" s="227"/>
      <c r="I58" s="159"/>
      <c r="J58" s="312" t="s">
        <v>307</v>
      </c>
    </row>
    <row r="59" spans="1:13" ht="22.5" customHeight="1">
      <c r="A59" s="43" t="s">
        <v>86</v>
      </c>
      <c r="B59" s="221" t="s">
        <v>310</v>
      </c>
      <c r="C59" s="86"/>
      <c r="D59" s="46">
        <v>100000</v>
      </c>
      <c r="E59" s="47">
        <f t="shared" ref="E59:E71" si="13">D59/12</f>
        <v>8333.3333333333339</v>
      </c>
      <c r="F59" s="82">
        <f>E59/F12</f>
        <v>0.24798487490650975</v>
      </c>
      <c r="G59" s="83">
        <f>D59</f>
        <v>100000</v>
      </c>
      <c r="H59" s="83"/>
      <c r="I59" s="159" t="s">
        <v>87</v>
      </c>
      <c r="J59" s="312"/>
    </row>
    <row r="60" spans="1:13" ht="22.5" customHeight="1">
      <c r="A60" s="43"/>
      <c r="B60" s="221" t="s">
        <v>311</v>
      </c>
      <c r="C60" s="86"/>
      <c r="D60" s="46">
        <v>102000</v>
      </c>
      <c r="E60" s="47">
        <f t="shared" si="13"/>
        <v>8500</v>
      </c>
      <c r="F60" s="82">
        <f>E60/F12</f>
        <v>0.25294457240463991</v>
      </c>
      <c r="G60" s="220"/>
      <c r="H60" s="220">
        <v>102000</v>
      </c>
      <c r="I60" s="159"/>
      <c r="J60" s="312"/>
    </row>
    <row r="61" spans="1:13" ht="31.5" customHeight="1">
      <c r="A61" s="51" t="s">
        <v>87</v>
      </c>
      <c r="B61" s="71" t="s">
        <v>261</v>
      </c>
      <c r="C61" s="72"/>
      <c r="D61" s="61">
        <v>200000</v>
      </c>
      <c r="E61" s="47">
        <f t="shared" si="13"/>
        <v>16666.666666666668</v>
      </c>
      <c r="F61" s="82">
        <f>E61/F12</f>
        <v>0.4959697498130195</v>
      </c>
      <c r="G61" s="78"/>
      <c r="H61" s="78">
        <f>D61-G61</f>
        <v>200000</v>
      </c>
      <c r="I61" s="159" t="s">
        <v>222</v>
      </c>
      <c r="J61" s="312"/>
    </row>
    <row r="62" spans="1:13" ht="22.5" customHeight="1">
      <c r="A62" s="51" t="s">
        <v>221</v>
      </c>
      <c r="B62" s="71" t="s">
        <v>216</v>
      </c>
      <c r="C62" s="72"/>
      <c r="D62" s="61">
        <v>20000</v>
      </c>
      <c r="E62" s="77">
        <f t="shared" si="13"/>
        <v>1666.6666666666667</v>
      </c>
      <c r="F62" s="219">
        <f>E62/F12</f>
        <v>4.9596974981301944E-2</v>
      </c>
      <c r="G62" s="220"/>
      <c r="H62" s="220">
        <f>D62</f>
        <v>20000</v>
      </c>
      <c r="I62" s="159" t="s">
        <v>221</v>
      </c>
      <c r="J62" s="312"/>
    </row>
    <row r="63" spans="1:13" ht="21" customHeight="1" thickBot="1">
      <c r="A63" s="85" t="s">
        <v>222</v>
      </c>
      <c r="B63" s="205" t="s">
        <v>270</v>
      </c>
      <c r="C63" s="217"/>
      <c r="D63" s="234"/>
      <c r="E63" s="237" t="s">
        <v>271</v>
      </c>
      <c r="F63" s="238"/>
      <c r="G63" s="239"/>
      <c r="H63" s="239"/>
      <c r="I63" s="159" t="s">
        <v>272</v>
      </c>
      <c r="J63" s="312"/>
    </row>
    <row r="64" spans="1:13" ht="22.5" customHeight="1" thickBot="1">
      <c r="A64" s="79"/>
      <c r="B64" s="222" t="s">
        <v>53</v>
      </c>
      <c r="C64" s="223"/>
      <c r="D64" s="224"/>
      <c r="E64" s="235"/>
      <c r="F64" s="107"/>
      <c r="G64" s="236"/>
      <c r="H64" s="236"/>
      <c r="I64" s="159"/>
      <c r="J64" s="312"/>
    </row>
    <row r="65" spans="1:10" ht="22.5" customHeight="1" thickBot="1">
      <c r="A65" s="73"/>
      <c r="B65" s="74" t="s">
        <v>263</v>
      </c>
      <c r="C65" s="75"/>
      <c r="D65" s="96">
        <v>50002</v>
      </c>
      <c r="E65" s="47">
        <f t="shared" si="13"/>
        <v>4166.833333333333</v>
      </c>
      <c r="F65" s="82">
        <f>E65/F12</f>
        <v>0.12399739715075299</v>
      </c>
      <c r="G65" s="220"/>
      <c r="H65" s="220">
        <f>D65</f>
        <v>50002</v>
      </c>
      <c r="I65" s="159"/>
      <c r="J65" s="312"/>
    </row>
    <row r="66" spans="1:10" ht="22.5" customHeight="1" thickBot="1">
      <c r="A66" s="79"/>
      <c r="B66" s="222" t="s">
        <v>219</v>
      </c>
      <c r="C66" s="223"/>
      <c r="D66" s="224"/>
      <c r="E66" s="225"/>
      <c r="F66" s="226"/>
      <c r="G66" s="227"/>
      <c r="H66" s="227"/>
      <c r="I66" s="159"/>
      <c r="J66" s="312"/>
    </row>
    <row r="67" spans="1:10" ht="22.5" customHeight="1" thickBot="1">
      <c r="A67" s="73" t="s">
        <v>88</v>
      </c>
      <c r="B67" s="74" t="s">
        <v>220</v>
      </c>
      <c r="C67" s="75"/>
      <c r="D67" s="96">
        <v>600000</v>
      </c>
      <c r="E67" s="77">
        <f t="shared" si="13"/>
        <v>50000</v>
      </c>
      <c r="F67" s="219">
        <f>E67/F12</f>
        <v>1.4879092494390584</v>
      </c>
      <c r="G67" s="220">
        <v>100000</v>
      </c>
      <c r="H67" s="220">
        <v>500000</v>
      </c>
      <c r="I67" s="159" t="s">
        <v>86</v>
      </c>
      <c r="J67" s="312"/>
    </row>
    <row r="68" spans="1:10" ht="22.5" customHeight="1" thickBot="1">
      <c r="A68" s="79"/>
      <c r="B68" s="222" t="s">
        <v>259</v>
      </c>
      <c r="C68" s="223"/>
      <c r="D68" s="224"/>
      <c r="E68" s="225"/>
      <c r="F68" s="226"/>
      <c r="G68" s="227"/>
      <c r="H68" s="227"/>
      <c r="I68" s="159"/>
      <c r="J68" s="312"/>
    </row>
    <row r="69" spans="1:10" ht="65.25" customHeight="1" thickBot="1">
      <c r="A69" s="43" t="s">
        <v>89</v>
      </c>
      <c r="B69" s="221" t="s">
        <v>269</v>
      </c>
      <c r="C69" s="86"/>
      <c r="D69" s="46">
        <f>25000*8+25*1500*8+80000*5+15000*2</f>
        <v>930000</v>
      </c>
      <c r="E69" s="47">
        <f t="shared" si="13"/>
        <v>77500</v>
      </c>
      <c r="F69" s="82">
        <f>E69/F12</f>
        <v>2.3062593366305406</v>
      </c>
      <c r="G69" s="83">
        <f>25000*4+25*1500*4+3*80000+15000</f>
        <v>505000</v>
      </c>
      <c r="H69" s="306">
        <f>25000*4+25*1500*4+80000*2+15000</f>
        <v>425000</v>
      </c>
      <c r="I69" s="301" t="s">
        <v>235</v>
      </c>
      <c r="J69" s="312"/>
    </row>
    <row r="70" spans="1:10" ht="34.5" customHeight="1" thickBot="1">
      <c r="A70" s="51" t="s">
        <v>90</v>
      </c>
      <c r="B70" s="71" t="s">
        <v>308</v>
      </c>
      <c r="C70" s="72"/>
      <c r="D70" s="61">
        <f>7*40000+5920</f>
        <v>285920</v>
      </c>
      <c r="E70" s="47">
        <f t="shared" si="13"/>
        <v>23826.666666666668</v>
      </c>
      <c r="F70" s="82">
        <f>E70/F12</f>
        <v>0.70903835433269269</v>
      </c>
      <c r="G70" s="83">
        <f>D70/7*3</f>
        <v>122537.14285714284</v>
      </c>
      <c r="H70" s="307">
        <f>D70/7*4</f>
        <v>163382.85714285713</v>
      </c>
      <c r="I70" s="301" t="s">
        <v>234</v>
      </c>
      <c r="J70" s="312"/>
    </row>
    <row r="71" spans="1:10" ht="32.25" customHeight="1">
      <c r="A71" s="51" t="s">
        <v>91</v>
      </c>
      <c r="B71" s="71" t="s">
        <v>265</v>
      </c>
      <c r="C71" s="72"/>
      <c r="D71" s="61">
        <v>300000</v>
      </c>
      <c r="E71" s="47">
        <f t="shared" si="13"/>
        <v>25000</v>
      </c>
      <c r="F71" s="82">
        <f>E71/F12</f>
        <v>0.74395462471952922</v>
      </c>
      <c r="G71" s="83">
        <f>D71/9*5</f>
        <v>166666.66666666669</v>
      </c>
      <c r="H71" s="83">
        <f>D71/9*4</f>
        <v>133333.33333333334</v>
      </c>
      <c r="I71" s="159" t="s">
        <v>229</v>
      </c>
      <c r="J71" s="312"/>
    </row>
    <row r="72" spans="1:10" ht="22.5" customHeight="1">
      <c r="A72" s="51" t="s">
        <v>238</v>
      </c>
      <c r="B72" s="71" t="s">
        <v>227</v>
      </c>
      <c r="C72" s="72"/>
      <c r="D72" s="61"/>
      <c r="E72" s="1036" t="s">
        <v>266</v>
      </c>
      <c r="F72" s="1037"/>
      <c r="G72" s="1037"/>
      <c r="H72" s="1037"/>
      <c r="I72" s="159" t="s">
        <v>228</v>
      </c>
      <c r="J72" s="312"/>
    </row>
    <row r="73" spans="1:10" ht="22.5" customHeight="1" thickBot="1">
      <c r="A73" s="85" t="s">
        <v>239</v>
      </c>
      <c r="B73" s="228" t="s">
        <v>225</v>
      </c>
      <c r="C73" s="217"/>
      <c r="D73" s="218"/>
      <c r="E73" s="1038"/>
      <c r="F73" s="1039"/>
      <c r="G73" s="1039"/>
      <c r="H73" s="1039"/>
      <c r="I73" s="159" t="s">
        <v>226</v>
      </c>
      <c r="J73" s="312"/>
    </row>
    <row r="74" spans="1:10" ht="30.75" customHeight="1" thickBot="1">
      <c r="A74" s="79" t="s">
        <v>240</v>
      </c>
      <c r="B74" s="222" t="s">
        <v>321</v>
      </c>
      <c r="C74" s="223" t="s">
        <v>80</v>
      </c>
      <c r="D74" s="224">
        <f>410000+31200</f>
        <v>441200</v>
      </c>
      <c r="E74" s="225">
        <f t="shared" ref="E74:E76" si="14">D74/12</f>
        <v>36766.666666666664</v>
      </c>
      <c r="F74" s="226">
        <f>E74/F12</f>
        <v>1.0941092680875208</v>
      </c>
      <c r="G74" s="227">
        <f t="shared" ref="G74" si="15">D74*55.4%</f>
        <v>244424.79999999996</v>
      </c>
      <c r="H74" s="227">
        <f t="shared" ref="H74" si="16">D74-G74</f>
        <v>196775.20000000004</v>
      </c>
      <c r="I74" s="159"/>
      <c r="J74" s="312"/>
    </row>
    <row r="75" spans="1:10" ht="27" customHeight="1" thickBot="1">
      <c r="A75" s="79" t="s">
        <v>241</v>
      </c>
      <c r="B75" s="315" t="s">
        <v>217</v>
      </c>
      <c r="C75" s="230" t="s">
        <v>92</v>
      </c>
      <c r="D75" s="224">
        <f>(29000+24000+26000+35000)*12*1.302</f>
        <v>1781136</v>
      </c>
      <c r="E75" s="225">
        <f t="shared" si="14"/>
        <v>148428</v>
      </c>
      <c r="F75" s="226">
        <f>E75/F12</f>
        <v>4.4169478815148109</v>
      </c>
      <c r="G75" s="231">
        <f>D75*55.4%</f>
        <v>986749.34399999992</v>
      </c>
      <c r="H75" s="231">
        <f>D75-G75</f>
        <v>794386.65600000008</v>
      </c>
      <c r="I75" s="159" t="s">
        <v>218</v>
      </c>
      <c r="J75" s="312" t="s">
        <v>274</v>
      </c>
    </row>
    <row r="76" spans="1:10" ht="27" customHeight="1" thickBot="1">
      <c r="A76" s="252"/>
      <c r="B76" s="229" t="s">
        <v>277</v>
      </c>
      <c r="C76" s="253"/>
      <c r="D76" s="224">
        <f>(29000+24000+26000+35000)*1.302</f>
        <v>148428</v>
      </c>
      <c r="E76" s="225">
        <f t="shared" si="14"/>
        <v>12369</v>
      </c>
      <c r="F76" s="226">
        <f>E76/F12</f>
        <v>0.36807899012623424</v>
      </c>
      <c r="G76" s="231">
        <f>D76*55.4%</f>
        <v>82229.111999999994</v>
      </c>
      <c r="H76" s="231">
        <f>D76-G76</f>
        <v>66198.888000000006</v>
      </c>
      <c r="I76" s="159"/>
      <c r="J76" s="312"/>
    </row>
    <row r="77" spans="1:10" ht="46.5" customHeight="1" thickBot="1">
      <c r="A77" s="87">
        <v>2</v>
      </c>
      <c r="B77" s="88" t="s">
        <v>93</v>
      </c>
      <c r="C77" s="89"/>
      <c r="D77" s="90">
        <f>SUM(D79:D94)</f>
        <v>5114841.3000000007</v>
      </c>
      <c r="E77" s="90">
        <f>SUM(E79:E94)</f>
        <v>426236.77499999997</v>
      </c>
      <c r="F77" s="91">
        <f>SUM(F79:F94)</f>
        <v>12.684032799471499</v>
      </c>
      <c r="G77" s="90">
        <f>SUM(G79:G94)</f>
        <v>2833622.0801999997</v>
      </c>
      <c r="H77" s="292">
        <f>SUM(H79:H94)</f>
        <v>2281219.2198000001</v>
      </c>
      <c r="I77" s="159"/>
      <c r="J77" s="312"/>
    </row>
    <row r="78" spans="1:10" ht="17.25" customHeight="1" thickBot="1">
      <c r="A78" s="92"/>
      <c r="B78" s="93" t="s">
        <v>94</v>
      </c>
      <c r="C78" s="94"/>
      <c r="D78" s="95"/>
      <c r="E78" s="96"/>
      <c r="F78" s="97" t="e">
        <f>E78/#REF!</f>
        <v>#REF!</v>
      </c>
      <c r="G78" s="98"/>
      <c r="H78" s="98"/>
      <c r="I78" s="159"/>
      <c r="J78" s="312"/>
    </row>
    <row r="79" spans="1:10" ht="16.5" customHeight="1">
      <c r="A79" s="43" t="s">
        <v>242</v>
      </c>
      <c r="B79" s="44" t="s">
        <v>95</v>
      </c>
      <c r="C79" s="45" t="s">
        <v>96</v>
      </c>
      <c r="D79" s="57">
        <f>16000+9700+10000</f>
        <v>35700</v>
      </c>
      <c r="E79" s="100">
        <f t="shared" si="8"/>
        <v>2975</v>
      </c>
      <c r="F79" s="101">
        <f>E79/F12</f>
        <v>8.8530600341623966E-2</v>
      </c>
      <c r="G79" s="102">
        <f>D79*55.4%</f>
        <v>19777.8</v>
      </c>
      <c r="H79" s="102">
        <f>D79-G79</f>
        <v>15922.2</v>
      </c>
      <c r="I79" s="159"/>
      <c r="J79" s="312" t="s">
        <v>274</v>
      </c>
    </row>
    <row r="80" spans="1:10" ht="17.25" customHeight="1" thickBot="1">
      <c r="A80" s="92"/>
      <c r="B80" s="103" t="s">
        <v>98</v>
      </c>
      <c r="C80" s="104"/>
      <c r="D80" s="105"/>
      <c r="E80" s="106"/>
      <c r="F80" s="107"/>
      <c r="G80" s="108"/>
      <c r="H80" s="108"/>
      <c r="I80" s="159"/>
      <c r="J80" s="312"/>
    </row>
    <row r="81" spans="1:10" ht="19.5" customHeight="1" thickBot="1">
      <c r="A81" s="51" t="s">
        <v>97</v>
      </c>
      <c r="B81" s="52" t="s">
        <v>99</v>
      </c>
      <c r="C81" s="55" t="s">
        <v>100</v>
      </c>
      <c r="D81" s="61">
        <f>(60000*2+24000+13550)*12+75000*12</f>
        <v>2790600</v>
      </c>
      <c r="E81" s="47">
        <f t="shared" si="8"/>
        <v>232550</v>
      </c>
      <c r="F81" s="82">
        <f>E81/F12</f>
        <v>6.9202659191410607</v>
      </c>
      <c r="G81" s="49">
        <f>D81*55.4%</f>
        <v>1545992.4</v>
      </c>
      <c r="H81" s="49">
        <f>D81-G81</f>
        <v>1244607.6000000001</v>
      </c>
      <c r="I81" s="159"/>
      <c r="J81" s="312" t="s">
        <v>274</v>
      </c>
    </row>
    <row r="82" spans="1:10" ht="21" customHeight="1" thickBot="1">
      <c r="A82" s="43" t="s">
        <v>102</v>
      </c>
      <c r="B82" s="44" t="s">
        <v>101</v>
      </c>
      <c r="C82" s="45"/>
      <c r="D82" s="46">
        <f>D81*0.302</f>
        <v>842761.2</v>
      </c>
      <c r="E82" s="47">
        <f>D82/12</f>
        <v>70230.099999999991</v>
      </c>
      <c r="F82" s="82">
        <f>E82/F12</f>
        <v>2.0899203075805999</v>
      </c>
      <c r="G82" s="102">
        <f>D82*55.4%</f>
        <v>466889.70479999995</v>
      </c>
      <c r="H82" s="102">
        <f>D82-G82</f>
        <v>375871.4952</v>
      </c>
      <c r="I82" s="159"/>
      <c r="J82" s="312" t="s">
        <v>274</v>
      </c>
    </row>
    <row r="83" spans="1:10" ht="21" customHeight="1">
      <c r="A83" s="73" t="s">
        <v>276</v>
      </c>
      <c r="B83" s="193" t="s">
        <v>302</v>
      </c>
      <c r="C83" s="84"/>
      <c r="D83" s="61">
        <f>(60000*2+24000+13550+75000)*1.302</f>
        <v>302780.10000000003</v>
      </c>
      <c r="E83" s="47">
        <f t="shared" ref="E83" si="17">D83/12</f>
        <v>25231.675000000003</v>
      </c>
      <c r="F83" s="82">
        <f>E83/F12</f>
        <v>0.75084885222680509</v>
      </c>
      <c r="G83" s="102">
        <f t="shared" ref="G83" si="18">D83*55.4%</f>
        <v>167740.17540000001</v>
      </c>
      <c r="H83" s="102">
        <f t="shared" ref="H83" si="19">D83-G83</f>
        <v>135039.92460000003</v>
      </c>
      <c r="I83" s="159"/>
      <c r="J83" s="312"/>
    </row>
    <row r="84" spans="1:10" ht="15.75" customHeight="1" thickBot="1">
      <c r="A84" s="92"/>
      <c r="B84" s="103" t="s">
        <v>103</v>
      </c>
      <c r="C84" s="104"/>
      <c r="D84" s="105"/>
      <c r="E84" s="109"/>
      <c r="F84" s="110"/>
      <c r="G84" s="111"/>
      <c r="H84" s="111"/>
      <c r="I84" s="159"/>
      <c r="J84" s="312"/>
    </row>
    <row r="85" spans="1:10" s="115" customFormat="1" ht="21" customHeight="1">
      <c r="A85" s="112" t="s">
        <v>243</v>
      </c>
      <c r="B85" s="113" t="s">
        <v>267</v>
      </c>
      <c r="C85" s="114" t="s">
        <v>104</v>
      </c>
      <c r="D85" s="46">
        <v>60000</v>
      </c>
      <c r="E85" s="47">
        <f t="shared" si="8"/>
        <v>5000</v>
      </c>
      <c r="F85" s="82">
        <f>E85/F12</f>
        <v>0.14879092494390583</v>
      </c>
      <c r="G85" s="83">
        <f t="shared" ref="G85:G94" si="20">D85*55.4%</f>
        <v>33239.999999999993</v>
      </c>
      <c r="H85" s="83">
        <f t="shared" ref="H85:H94" si="21">D85-G85</f>
        <v>26760.000000000007</v>
      </c>
      <c r="I85" s="302"/>
      <c r="J85" s="312" t="s">
        <v>274</v>
      </c>
    </row>
    <row r="86" spans="1:10" ht="19.5" customHeight="1">
      <c r="A86" s="51" t="s">
        <v>244</v>
      </c>
      <c r="B86" s="52" t="s">
        <v>105</v>
      </c>
      <c r="C86" s="55" t="s">
        <v>106</v>
      </c>
      <c r="D86" s="54">
        <v>70000</v>
      </c>
      <c r="E86" s="47">
        <f t="shared" si="8"/>
        <v>5833.333333333333</v>
      </c>
      <c r="F86" s="82">
        <f>E86/F12</f>
        <v>0.17358941243455681</v>
      </c>
      <c r="G86" s="49">
        <f t="shared" si="20"/>
        <v>38779.999999999993</v>
      </c>
      <c r="H86" s="49">
        <f t="shared" si="21"/>
        <v>31220.000000000007</v>
      </c>
      <c r="I86" s="159"/>
      <c r="J86" s="312" t="s">
        <v>274</v>
      </c>
    </row>
    <row r="87" spans="1:10" ht="19.5" customHeight="1">
      <c r="A87" s="51" t="s">
        <v>245</v>
      </c>
      <c r="B87" s="52" t="s">
        <v>107</v>
      </c>
      <c r="C87" s="55" t="s">
        <v>108</v>
      </c>
      <c r="D87" s="61">
        <v>90000</v>
      </c>
      <c r="E87" s="47">
        <f t="shared" si="8"/>
        <v>7500</v>
      </c>
      <c r="F87" s="82">
        <f>E87/F12</f>
        <v>0.22318638741585875</v>
      </c>
      <c r="G87" s="49">
        <f t="shared" si="20"/>
        <v>49859.999999999993</v>
      </c>
      <c r="H87" s="49">
        <f t="shared" si="21"/>
        <v>40140.000000000007</v>
      </c>
      <c r="I87" s="159"/>
      <c r="J87" s="312" t="s">
        <v>274</v>
      </c>
    </row>
    <row r="88" spans="1:10" ht="16.5" customHeight="1">
      <c r="A88" s="51" t="s">
        <v>246</v>
      </c>
      <c r="B88" s="52" t="s">
        <v>109</v>
      </c>
      <c r="C88" s="55" t="s">
        <v>110</v>
      </c>
      <c r="D88" s="54">
        <v>30000</v>
      </c>
      <c r="E88" s="47">
        <f t="shared" si="8"/>
        <v>2500</v>
      </c>
      <c r="F88" s="82">
        <f>E88/F12</f>
        <v>7.4395462471952917E-2</v>
      </c>
      <c r="G88" s="49">
        <f t="shared" si="20"/>
        <v>16619.999999999996</v>
      </c>
      <c r="H88" s="49">
        <f t="shared" si="21"/>
        <v>13380.000000000004</v>
      </c>
      <c r="I88" s="159"/>
      <c r="J88" s="312" t="s">
        <v>274</v>
      </c>
    </row>
    <row r="89" spans="1:10" ht="30" customHeight="1">
      <c r="A89" s="51" t="s">
        <v>247</v>
      </c>
      <c r="B89" s="52" t="s">
        <v>268</v>
      </c>
      <c r="C89" s="55" t="s">
        <v>111</v>
      </c>
      <c r="D89" s="54">
        <f>52000+6000+15000+25000+45000</f>
        <v>143000</v>
      </c>
      <c r="E89" s="47">
        <f>D89/12</f>
        <v>11916.666666666666</v>
      </c>
      <c r="F89" s="82">
        <f>E89/F12</f>
        <v>0.35461837111630889</v>
      </c>
      <c r="G89" s="49">
        <f t="shared" si="20"/>
        <v>79221.999999999985</v>
      </c>
      <c r="H89" s="49">
        <f t="shared" si="21"/>
        <v>63778.000000000015</v>
      </c>
      <c r="I89" s="159"/>
      <c r="J89" s="312" t="s">
        <v>274</v>
      </c>
    </row>
    <row r="90" spans="1:10" ht="20.25" customHeight="1">
      <c r="A90" s="159" t="s">
        <v>248</v>
      </c>
      <c r="B90" s="193" t="s">
        <v>112</v>
      </c>
      <c r="C90" s="161"/>
      <c r="D90" s="36">
        <f>15000</f>
        <v>15000</v>
      </c>
      <c r="E90" s="117">
        <f t="shared" si="8"/>
        <v>1250</v>
      </c>
      <c r="F90" s="15">
        <f>E90/F12</f>
        <v>3.7197731235976458E-2</v>
      </c>
      <c r="G90" s="38">
        <f t="shared" si="20"/>
        <v>8309.9999999999982</v>
      </c>
      <c r="H90" s="287">
        <f t="shared" si="21"/>
        <v>6690.0000000000018</v>
      </c>
      <c r="I90" s="159"/>
      <c r="J90" s="312" t="s">
        <v>274</v>
      </c>
    </row>
    <row r="91" spans="1:10" ht="18" customHeight="1">
      <c r="A91" s="51" t="s">
        <v>249</v>
      </c>
      <c r="B91" s="193" t="s">
        <v>113</v>
      </c>
      <c r="C91" s="116" t="s">
        <v>114</v>
      </c>
      <c r="D91" s="36">
        <v>15000</v>
      </c>
      <c r="E91" s="117">
        <f t="shared" si="8"/>
        <v>1250</v>
      </c>
      <c r="F91" s="118">
        <f>E91/F12</f>
        <v>3.7197731235976458E-2</v>
      </c>
      <c r="G91" s="49">
        <f t="shared" si="20"/>
        <v>8309.9999999999982</v>
      </c>
      <c r="H91" s="49">
        <f t="shared" si="21"/>
        <v>6690.0000000000018</v>
      </c>
      <c r="I91" s="159"/>
      <c r="J91" s="312" t="s">
        <v>274</v>
      </c>
    </row>
    <row r="92" spans="1:10" ht="18.75" customHeight="1">
      <c r="A92" s="73" t="s">
        <v>250</v>
      </c>
      <c r="B92" s="232" t="s">
        <v>115</v>
      </c>
      <c r="C92" s="119" t="s">
        <v>116</v>
      </c>
      <c r="D92" s="120">
        <v>40000</v>
      </c>
      <c r="E92" s="117">
        <f t="shared" si="8"/>
        <v>3333.3333333333335</v>
      </c>
      <c r="F92" s="118">
        <f>E92/F12</f>
        <v>9.9193949962603889E-2</v>
      </c>
      <c r="G92" s="49">
        <f t="shared" si="20"/>
        <v>22159.999999999996</v>
      </c>
      <c r="H92" s="49">
        <f t="shared" si="21"/>
        <v>17840.000000000004</v>
      </c>
      <c r="I92" s="159"/>
      <c r="J92" s="312" t="s">
        <v>274</v>
      </c>
    </row>
    <row r="93" spans="1:10" ht="18" customHeight="1">
      <c r="A93" s="73" t="s">
        <v>251</v>
      </c>
      <c r="B93" s="205" t="s">
        <v>260</v>
      </c>
      <c r="C93" s="121" t="s">
        <v>117</v>
      </c>
      <c r="D93" s="122">
        <v>140000</v>
      </c>
      <c r="E93" s="47">
        <f t="shared" si="8"/>
        <v>11666.666666666666</v>
      </c>
      <c r="F93" s="118">
        <f>E93/F12</f>
        <v>0.34717882486911361</v>
      </c>
      <c r="G93" s="49">
        <f t="shared" si="20"/>
        <v>77559.999999999985</v>
      </c>
      <c r="H93" s="49">
        <f t="shared" si="21"/>
        <v>62440.000000000015</v>
      </c>
      <c r="I93" s="159"/>
      <c r="J93" s="312"/>
    </row>
    <row r="94" spans="1:10" ht="21" customHeight="1" thickBot="1">
      <c r="A94" s="73" t="s">
        <v>252</v>
      </c>
      <c r="B94" s="233" t="s">
        <v>118</v>
      </c>
      <c r="C94" s="123"/>
      <c r="D94" s="124">
        <v>540000</v>
      </c>
      <c r="E94" s="124">
        <f t="shared" si="8"/>
        <v>45000</v>
      </c>
      <c r="F94" s="118">
        <f>E94/F12</f>
        <v>1.3391183244951526</v>
      </c>
      <c r="G94" s="49">
        <f t="shared" si="20"/>
        <v>299159.99999999994</v>
      </c>
      <c r="H94" s="49">
        <f t="shared" si="21"/>
        <v>240840.00000000006</v>
      </c>
      <c r="I94" s="159"/>
      <c r="J94" s="312" t="s">
        <v>274</v>
      </c>
    </row>
    <row r="95" spans="1:10" ht="39.75" customHeight="1" thickBot="1">
      <c r="A95" s="125"/>
      <c r="B95" s="191" t="s">
        <v>119</v>
      </c>
      <c r="C95" s="126"/>
      <c r="D95" s="127">
        <f>D77+D57+D49+D45+D39+D36+D25+D44</f>
        <v>18271761.343000002</v>
      </c>
      <c r="E95" s="127">
        <f>E77+E57+E49+E45+E39+E36+E25</f>
        <v>1506657.6119166666</v>
      </c>
      <c r="F95" s="128">
        <f>F77+F57+F49+F45+F39+F36+F25+F44</f>
        <v>45.311204509654559</v>
      </c>
      <c r="G95" s="127">
        <f>G77+G57+G49+G45+G39+G36+G25+G44</f>
        <v>9513679.7144346964</v>
      </c>
      <c r="H95" s="293">
        <f>H77+H57+H49+H45+H39+H36+H25+H44</f>
        <v>8758081.628565304</v>
      </c>
      <c r="I95" s="312"/>
      <c r="J95" s="312"/>
    </row>
    <row r="96" spans="1:10" ht="32.25" customHeight="1">
      <c r="A96" s="7"/>
      <c r="B96" s="129"/>
      <c r="C96" s="8"/>
      <c r="D96" s="130"/>
      <c r="E96" s="130"/>
      <c r="F96" s="130"/>
      <c r="G96" s="309">
        <f>D95-G95</f>
        <v>8758081.6285653058</v>
      </c>
      <c r="H96" s="130"/>
      <c r="J96" s="4"/>
    </row>
    <row r="97" spans="1:9" ht="60" customHeight="1">
      <c r="A97" s="7"/>
      <c r="B97" s="129"/>
      <c r="C97" s="8"/>
      <c r="D97" s="130"/>
      <c r="E97" s="130"/>
      <c r="F97" s="255">
        <f>F94+F92+F90+F88+F87+F86+F85+F82+F81+F79+F75+F65+F54+F52+F51+F50+F48+F47+F46+F45+F39+F36</f>
        <v>29.927986548804419</v>
      </c>
      <c r="G97" s="131"/>
      <c r="H97" s="130"/>
    </row>
    <row r="98" spans="1:9" ht="20.25" customHeight="1">
      <c r="A98" s="7"/>
      <c r="B98" s="129"/>
      <c r="C98" s="8"/>
      <c r="D98" s="130"/>
      <c r="E98" s="130"/>
      <c r="F98" s="255">
        <f>F94+F92+F90+F88+F87+F86+F85+F82+F81+F79+F75+F65+F54+F52+F51+F50+F45+F39+F36+F55+F91+F53+F89</f>
        <v>29.527689363730332</v>
      </c>
      <c r="G98" s="131"/>
      <c r="H98" s="130"/>
    </row>
    <row r="99" spans="1:9" ht="20.25" customHeight="1">
      <c r="A99" s="7"/>
      <c r="B99" s="129"/>
      <c r="C99" s="8"/>
      <c r="D99" s="130"/>
      <c r="E99" s="130"/>
      <c r="F99" s="255"/>
      <c r="G99" s="131"/>
      <c r="H99" s="130"/>
    </row>
    <row r="100" spans="1:9" ht="32.25" customHeight="1">
      <c r="A100" s="7"/>
      <c r="B100" s="129"/>
      <c r="C100" s="8"/>
      <c r="D100" s="130"/>
      <c r="E100" s="130"/>
      <c r="F100" s="130"/>
      <c r="G100" s="131"/>
      <c r="H100" s="130"/>
      <c r="I100" t="s">
        <v>298</v>
      </c>
    </row>
    <row r="101" spans="1:9" ht="7.5" customHeight="1" thickBot="1">
      <c r="C101" s="6"/>
      <c r="D101" s="9"/>
      <c r="E101" s="10"/>
      <c r="F101" s="4"/>
      <c r="G101" s="132"/>
    </row>
    <row r="102" spans="1:9" ht="48" hidden="1" thickBot="1">
      <c r="A102" s="133" t="s">
        <v>120</v>
      </c>
      <c r="B102" s="134" t="s">
        <v>121</v>
      </c>
      <c r="C102" s="135"/>
      <c r="D102" s="136">
        <f>D104+D108+D114</f>
        <v>10480740.687000001</v>
      </c>
      <c r="E102" s="136">
        <f>SUM(E104:E121)</f>
        <v>0</v>
      </c>
      <c r="F102" s="136"/>
      <c r="G102" s="136">
        <f>SUM(G104:G121)</f>
        <v>10737461.792365</v>
      </c>
      <c r="H102" s="136">
        <f>SUM(H104:H121)</f>
        <v>9775374.5543750003</v>
      </c>
    </row>
    <row r="103" spans="1:9" ht="16.5" hidden="1" thickBot="1">
      <c r="A103" s="137"/>
      <c r="B103" s="138"/>
      <c r="C103" s="139"/>
      <c r="D103" s="140"/>
      <c r="E103" s="140"/>
      <c r="F103" s="140"/>
      <c r="G103" s="140"/>
      <c r="H103" s="140"/>
    </row>
    <row r="104" spans="1:9" ht="27" hidden="1" thickBot="1">
      <c r="A104" s="73"/>
      <c r="B104" s="141" t="s">
        <v>122</v>
      </c>
      <c r="C104" s="142" t="s">
        <v>123</v>
      </c>
      <c r="D104" s="143">
        <f>G104+H104</f>
        <v>4830199.5</v>
      </c>
      <c r="E104" s="144"/>
      <c r="F104" s="143"/>
      <c r="G104" s="145">
        <v>2685592</v>
      </c>
      <c r="H104" s="145">
        <v>2144607.5</v>
      </c>
    </row>
    <row r="105" spans="1:9" ht="15.75" hidden="1" thickBot="1">
      <c r="A105" s="73"/>
      <c r="B105" s="58" t="s">
        <v>124</v>
      </c>
      <c r="C105" s="142"/>
      <c r="D105" s="143">
        <v>1839000</v>
      </c>
      <c r="E105" s="144"/>
      <c r="F105" s="143"/>
      <c r="G105" s="145"/>
      <c r="H105" s="145"/>
    </row>
    <row r="106" spans="1:9" ht="15.75" hidden="1" thickBot="1">
      <c r="A106" s="73"/>
      <c r="B106" s="58" t="s">
        <v>125</v>
      </c>
      <c r="C106" s="142"/>
      <c r="D106" s="143">
        <v>1631000</v>
      </c>
      <c r="E106" s="144"/>
      <c r="F106" s="143"/>
      <c r="G106" s="143">
        <f>24989*1.103*33.765</f>
        <v>930660.20425499999</v>
      </c>
      <c r="H106" s="143">
        <f>33.765*1.103*20902</f>
        <v>778448.90109000006</v>
      </c>
    </row>
    <row r="107" spans="1:9" ht="15.75" hidden="1" thickBot="1">
      <c r="A107" s="73"/>
      <c r="B107" s="58" t="s">
        <v>126</v>
      </c>
      <c r="C107" s="146"/>
      <c r="D107" s="143">
        <f>D104-D105-D106</f>
        <v>1360199.5</v>
      </c>
      <c r="E107" s="144"/>
      <c r="F107" s="143"/>
      <c r="G107" s="143">
        <f>15338*1.103*33.765+37000</f>
        <v>608229.98970999999</v>
      </c>
      <c r="H107" s="143">
        <f>12543*1.103*33.765+37000</f>
        <v>504136.37768500001</v>
      </c>
    </row>
    <row r="108" spans="1:9" ht="39.75" hidden="1" thickBot="1">
      <c r="A108" s="85"/>
      <c r="B108" s="147" t="s">
        <v>127</v>
      </c>
      <c r="C108" s="148" t="s">
        <v>128</v>
      </c>
      <c r="D108" s="143">
        <f t="shared" ref="D108:D113" si="22">G108+H108</f>
        <v>4963466.7870000005</v>
      </c>
      <c r="E108" s="144"/>
      <c r="F108" s="143"/>
      <c r="G108" s="143">
        <f>560182*4.593</f>
        <v>2572915.926</v>
      </c>
      <c r="H108" s="143">
        <f>520477*4.593</f>
        <v>2390550.861</v>
      </c>
    </row>
    <row r="109" spans="1:9" ht="15.75" hidden="1" thickBot="1">
      <c r="A109" s="85"/>
      <c r="B109" s="149" t="s">
        <v>129</v>
      </c>
      <c r="C109" s="148"/>
      <c r="D109" s="143">
        <f t="shared" si="22"/>
        <v>4189762.1579999998</v>
      </c>
      <c r="E109" s="144"/>
      <c r="F109" s="150"/>
      <c r="G109" s="143">
        <f>434933*4.593</f>
        <v>1997647.2690000001</v>
      </c>
      <c r="H109" s="143">
        <f>477273*4.593</f>
        <v>2192114.889</v>
      </c>
    </row>
    <row r="110" spans="1:9" ht="15.75" hidden="1" thickBot="1">
      <c r="A110" s="85"/>
      <c r="B110" s="149" t="s">
        <v>130</v>
      </c>
      <c r="C110" s="148"/>
      <c r="D110" s="143">
        <f t="shared" si="22"/>
        <v>773704.62899999996</v>
      </c>
      <c r="E110" s="144"/>
      <c r="F110" s="151"/>
      <c r="G110" s="143">
        <f>82909*4.593</f>
        <v>380801.03700000001</v>
      </c>
      <c r="H110" s="143">
        <f>85544*4.593</f>
        <v>392903.592</v>
      </c>
    </row>
    <row r="111" spans="1:9" ht="16.5" hidden="1" thickBot="1">
      <c r="A111" s="85"/>
      <c r="B111" s="147" t="s">
        <v>131</v>
      </c>
      <c r="C111" s="152" t="s">
        <v>132</v>
      </c>
      <c r="D111" s="153">
        <f t="shared" si="22"/>
        <v>77019</v>
      </c>
      <c r="E111" s="144"/>
      <c r="F111" s="143"/>
      <c r="G111" s="143">
        <f>G112+G113</f>
        <v>41227</v>
      </c>
      <c r="H111" s="143">
        <f>H112+H113</f>
        <v>35792</v>
      </c>
    </row>
    <row r="112" spans="1:9" ht="15.75" hidden="1" thickBot="1">
      <c r="A112" s="85"/>
      <c r="B112" s="149" t="s">
        <v>133</v>
      </c>
      <c r="C112" s="312"/>
      <c r="D112" s="153">
        <f t="shared" si="22"/>
        <v>65013.287183098459</v>
      </c>
      <c r="E112" s="144"/>
      <c r="F112" s="143"/>
      <c r="G112" s="143">
        <v>34800.540005681716</v>
      </c>
      <c r="H112" s="143">
        <v>30212.747177416742</v>
      </c>
    </row>
    <row r="113" spans="1:8" ht="15.75" hidden="1" thickBot="1">
      <c r="A113" s="85"/>
      <c r="B113" s="149" t="s">
        <v>134</v>
      </c>
      <c r="C113" s="312"/>
      <c r="D113" s="153">
        <f t="shared" si="22"/>
        <v>12005.71281690154</v>
      </c>
      <c r="E113" s="144"/>
      <c r="F113" s="143"/>
      <c r="G113" s="143">
        <v>6426.459994318282</v>
      </c>
      <c r="H113" s="143">
        <v>5579.2528225832575</v>
      </c>
    </row>
    <row r="114" spans="1:8" ht="39.75" hidden="1" thickBot="1">
      <c r="A114" s="85"/>
      <c r="B114" s="147" t="s">
        <v>135</v>
      </c>
      <c r="C114" s="148" t="s">
        <v>136</v>
      </c>
      <c r="D114" s="143">
        <f>D116+D115</f>
        <v>687074.39999999991</v>
      </c>
      <c r="E114" s="144"/>
      <c r="F114" s="143"/>
      <c r="G114" s="145">
        <f>D114*0.556</f>
        <v>382013.3664</v>
      </c>
      <c r="H114" s="145">
        <f>D114*0.444</f>
        <v>305061.03359999997</v>
      </c>
    </row>
    <row r="115" spans="1:8" ht="15.75" hidden="1" thickBot="1">
      <c r="A115" s="85"/>
      <c r="B115" s="149" t="s">
        <v>137</v>
      </c>
      <c r="C115" s="148"/>
      <c r="D115" s="143">
        <f>G115+H115</f>
        <v>280195.19999999995</v>
      </c>
      <c r="E115" s="144"/>
      <c r="F115" s="143"/>
      <c r="G115" s="143">
        <v>109295.99999999999</v>
      </c>
      <c r="H115" s="143">
        <v>170899.19999999995</v>
      </c>
    </row>
    <row r="116" spans="1:8" ht="15.75" hidden="1" thickBot="1">
      <c r="A116" s="85"/>
      <c r="B116" s="149" t="s">
        <v>133</v>
      </c>
      <c r="C116" s="148"/>
      <c r="D116" s="143">
        <f>G116+H116</f>
        <v>406879.19999999995</v>
      </c>
      <c r="E116" s="144"/>
      <c r="F116" s="143"/>
      <c r="G116" s="143">
        <v>214451.99999999997</v>
      </c>
      <c r="H116" s="143">
        <v>192427.2</v>
      </c>
    </row>
    <row r="117" spans="1:8" ht="19.5" hidden="1" thickBot="1">
      <c r="A117" s="85"/>
      <c r="B117" s="154" t="s">
        <v>138</v>
      </c>
      <c r="C117" s="155"/>
      <c r="D117" s="156"/>
      <c r="E117" s="157"/>
      <c r="F117" s="158">
        <f>(D109+D112+D116)/F10/12</f>
        <v>12.159865415592227</v>
      </c>
      <c r="G117" s="143"/>
      <c r="H117" s="143"/>
    </row>
    <row r="118" spans="1:8" ht="19.5" hidden="1" thickBot="1">
      <c r="A118" s="85"/>
      <c r="B118" s="154" t="s">
        <v>139</v>
      </c>
      <c r="C118" s="155"/>
      <c r="D118" s="156"/>
      <c r="E118" s="157"/>
      <c r="F118" s="158">
        <f>(D110+D113+D115)/27881</f>
        <v>38.230534837950628</v>
      </c>
      <c r="G118" s="143"/>
      <c r="H118" s="143"/>
    </row>
    <row r="119" spans="1:8" ht="52.5" hidden="1" thickBot="1">
      <c r="A119" s="85"/>
      <c r="B119" s="149" t="s">
        <v>140</v>
      </c>
      <c r="C119" s="148" t="s">
        <v>141</v>
      </c>
      <c r="D119" s="143">
        <f>G119+H119</f>
        <v>1140312</v>
      </c>
      <c r="E119" s="144"/>
      <c r="F119" s="143"/>
      <c r="G119" s="143">
        <f>438000+197700</f>
        <v>635700</v>
      </c>
      <c r="H119" s="143">
        <f>157872+346740</f>
        <v>504612</v>
      </c>
    </row>
    <row r="120" spans="1:8" ht="15.75" hidden="1" thickBot="1">
      <c r="A120" s="159"/>
      <c r="B120" s="160" t="s">
        <v>142</v>
      </c>
      <c r="C120" s="161" t="s">
        <v>143</v>
      </c>
      <c r="D120" s="143">
        <f>G120+H120</f>
        <v>265729</v>
      </c>
      <c r="E120" s="144"/>
      <c r="F120" s="143"/>
      <c r="G120" s="143">
        <v>137700</v>
      </c>
      <c r="H120" s="143">
        <v>128029</v>
      </c>
    </row>
    <row r="121" spans="1:8" ht="15.75" hidden="1" thickBot="1">
      <c r="A121" s="60"/>
      <c r="B121" s="50"/>
      <c r="C121" s="162"/>
      <c r="D121" s="9">
        <f>D95+D102+D119+D120</f>
        <v>30158543.030000001</v>
      </c>
      <c r="E121" s="163"/>
      <c r="F121" s="4"/>
    </row>
    <row r="122" spans="1:8" ht="15.75" hidden="1" thickBot="1">
      <c r="B122" s="7" t="s">
        <v>144</v>
      </c>
    </row>
    <row r="123" spans="1:8" ht="15.75" hidden="1" thickBot="1">
      <c r="B123" t="s">
        <v>145</v>
      </c>
      <c r="D123" s="3">
        <f>F117*F12*12</f>
        <v>4903470.5927837314</v>
      </c>
    </row>
    <row r="124" spans="1:8" ht="15.75" hidden="1" thickBot="1">
      <c r="B124" t="s">
        <v>146</v>
      </c>
      <c r="D124" s="3">
        <f>F118*27881+1242*0.3717</f>
        <v>1066367.1932169015</v>
      </c>
    </row>
    <row r="125" spans="1:8" ht="15.75" hidden="1" thickBot="1">
      <c r="B125" s="7" t="s">
        <v>147</v>
      </c>
      <c r="D125" s="3"/>
    </row>
    <row r="126" spans="1:8" ht="15.75" hidden="1" thickBot="1">
      <c r="B126" t="s">
        <v>145</v>
      </c>
      <c r="D126" s="3">
        <f>D109+D112+D116</f>
        <v>4661654.6451830985</v>
      </c>
    </row>
    <row r="127" spans="1:8" ht="15.75" hidden="1" thickBot="1">
      <c r="B127" t="s">
        <v>146</v>
      </c>
      <c r="D127" s="3">
        <f>D110+D113+D115</f>
        <v>1065905.5418169014</v>
      </c>
    </row>
    <row r="128" spans="1:8" ht="15.75" hidden="1" thickBot="1"/>
    <row r="129" spans="1:12" ht="15.75" hidden="1" thickBot="1">
      <c r="B129" s="7" t="s">
        <v>148</v>
      </c>
      <c r="H129" s="164"/>
    </row>
    <row r="130" spans="1:12" ht="15.75" hidden="1" thickBot="1">
      <c r="B130" t="s">
        <v>149</v>
      </c>
      <c r="H130" s="5">
        <f>24700*12</f>
        <v>296400</v>
      </c>
    </row>
    <row r="131" spans="1:12" ht="15.75" hidden="1" thickBot="1">
      <c r="B131" t="s">
        <v>150</v>
      </c>
      <c r="H131" s="5">
        <f>H130*0.302</f>
        <v>89512.8</v>
      </c>
      <c r="I131">
        <f>SUM(H130:H131)</f>
        <v>385912.8</v>
      </c>
    </row>
    <row r="132" spans="1:12" ht="15.75" hidden="1" thickBot="1">
      <c r="B132" t="s">
        <v>151</v>
      </c>
    </row>
    <row r="133" spans="1:12" ht="39.75" customHeight="1" thickBot="1">
      <c r="A133" s="959" t="s">
        <v>152</v>
      </c>
      <c r="B133" s="959"/>
      <c r="C133" s="959"/>
      <c r="D133" s="959"/>
      <c r="E133" s="959"/>
      <c r="F133" s="959"/>
      <c r="G133" s="959"/>
      <c r="H133" s="959"/>
      <c r="I133" s="1040" t="s">
        <v>295</v>
      </c>
      <c r="J133" s="1041"/>
      <c r="K133" s="1042"/>
      <c r="L133" s="269" t="s">
        <v>292</v>
      </c>
    </row>
    <row r="134" spans="1:12">
      <c r="H134" s="273" t="s">
        <v>291</v>
      </c>
      <c r="I134" s="263">
        <v>58.3</v>
      </c>
      <c r="J134" s="312"/>
      <c r="K134" s="264"/>
      <c r="L134" s="270"/>
    </row>
    <row r="135" spans="1:12" ht="57">
      <c r="B135" s="7" t="s">
        <v>4</v>
      </c>
      <c r="E135" s="7" t="s">
        <v>279</v>
      </c>
      <c r="H135" s="274"/>
      <c r="I135" s="265" t="s">
        <v>279</v>
      </c>
      <c r="J135" s="312"/>
      <c r="K135" s="266" t="s">
        <v>304</v>
      </c>
      <c r="L135" s="271" t="s">
        <v>296</v>
      </c>
    </row>
    <row r="136" spans="1:12">
      <c r="A136" s="312" t="s">
        <v>153</v>
      </c>
      <c r="B136" s="312"/>
      <c r="C136" s="312"/>
      <c r="D136" s="165">
        <v>31947</v>
      </c>
      <c r="E136" s="312"/>
      <c r="H136" s="274" t="s">
        <v>281</v>
      </c>
      <c r="I136" s="267">
        <f>I134*E141</f>
        <v>1714.0199999999998</v>
      </c>
      <c r="J136" s="21"/>
      <c r="K136" s="268">
        <f>I134*D141</f>
        <v>2641.6432229128604</v>
      </c>
      <c r="L136" s="272">
        <f>I134*29.4</f>
        <v>1714.0199999999998</v>
      </c>
    </row>
    <row r="137" spans="1:12">
      <c r="A137" s="312"/>
      <c r="B137" s="312"/>
      <c r="C137" s="312"/>
      <c r="D137" s="165"/>
      <c r="E137" s="312"/>
      <c r="H137" s="275" t="s">
        <v>293</v>
      </c>
      <c r="I137" s="267"/>
      <c r="J137" s="21"/>
      <c r="K137" s="268"/>
      <c r="L137" s="272">
        <f>I134*8.51</f>
        <v>496.13299999999998</v>
      </c>
    </row>
    <row r="138" spans="1:12">
      <c r="A138" s="312"/>
      <c r="B138" s="312"/>
      <c r="C138" s="312"/>
      <c r="D138" s="165"/>
      <c r="E138" s="312"/>
      <c r="H138" s="275" t="s">
        <v>294</v>
      </c>
      <c r="I138" s="267"/>
      <c r="J138" s="21"/>
      <c r="K138" s="268"/>
      <c r="L138" s="272">
        <f>I134*D142</f>
        <v>412.01758262360062</v>
      </c>
    </row>
    <row r="139" spans="1:12">
      <c r="A139" s="312" t="s">
        <v>154</v>
      </c>
      <c r="B139" s="312"/>
      <c r="C139" s="312"/>
      <c r="D139" s="165">
        <v>1382.5</v>
      </c>
      <c r="E139" s="312"/>
      <c r="H139" s="274" t="s">
        <v>282</v>
      </c>
      <c r="I139" s="267">
        <f>I134*F151</f>
        <v>2162.7807520000001</v>
      </c>
      <c r="J139" s="21"/>
      <c r="K139" s="268">
        <f>I134*13.5</f>
        <v>787.05</v>
      </c>
      <c r="L139" s="272">
        <f>K139</f>
        <v>787.05</v>
      </c>
    </row>
    <row r="140" spans="1:12">
      <c r="A140" s="312" t="s">
        <v>155</v>
      </c>
      <c r="B140" s="312"/>
      <c r="C140" s="312"/>
      <c r="D140" s="165">
        <v>33329.5</v>
      </c>
      <c r="E140" s="312"/>
      <c r="H140" s="274" t="s">
        <v>166</v>
      </c>
      <c r="I140" s="267">
        <f>1*191.72</f>
        <v>191.72</v>
      </c>
      <c r="J140" s="21"/>
      <c r="K140" s="268">
        <f>1*78</f>
        <v>78</v>
      </c>
      <c r="L140" s="272">
        <f>K140</f>
        <v>78</v>
      </c>
    </row>
    <row r="141" spans="1:12" ht="15.75" customHeight="1">
      <c r="A141" s="1032" t="s">
        <v>156</v>
      </c>
      <c r="B141" s="975"/>
      <c r="C141" s="312"/>
      <c r="D141" s="165">
        <f>F95</f>
        <v>45.311204509654559</v>
      </c>
      <c r="E141" s="312">
        <v>29.4</v>
      </c>
      <c r="H141" s="274" t="s">
        <v>168</v>
      </c>
      <c r="I141" s="267">
        <f>1*38.7</f>
        <v>38.700000000000003</v>
      </c>
      <c r="J141" s="21"/>
      <c r="K141" s="268">
        <f>I141</f>
        <v>38.700000000000003</v>
      </c>
      <c r="L141" s="272">
        <f>K141</f>
        <v>38.700000000000003</v>
      </c>
    </row>
    <row r="142" spans="1:12">
      <c r="A142" s="1032" t="s">
        <v>157</v>
      </c>
      <c r="B142" s="975"/>
      <c r="C142" s="312"/>
      <c r="D142" s="165">
        <f>F25+F58</f>
        <v>7.0671969575231675</v>
      </c>
      <c r="E142" s="312"/>
      <c r="H142" s="274" t="s">
        <v>283</v>
      </c>
      <c r="I142" s="267">
        <f>2*27.47</f>
        <v>54.94</v>
      </c>
      <c r="J142" s="21"/>
      <c r="K142" s="268">
        <f>I142</f>
        <v>54.94</v>
      </c>
      <c r="L142" s="272">
        <f>K142</f>
        <v>54.94</v>
      </c>
    </row>
    <row r="143" spans="1:12">
      <c r="D143" s="166"/>
      <c r="H143" s="274" t="s">
        <v>284</v>
      </c>
      <c r="I143" s="267"/>
      <c r="J143" s="21"/>
      <c r="K143" s="268">
        <f>I143</f>
        <v>0</v>
      </c>
      <c r="L143" s="272"/>
    </row>
    <row r="144" spans="1:12">
      <c r="H144" s="274" t="s">
        <v>285</v>
      </c>
      <c r="I144" s="267">
        <v>149</v>
      </c>
      <c r="J144" s="21"/>
      <c r="K144" s="268">
        <f>I144</f>
        <v>149</v>
      </c>
      <c r="L144" s="272">
        <f>K144</f>
        <v>149</v>
      </c>
    </row>
    <row r="145" spans="1:14" ht="16.5" thickBot="1">
      <c r="A145" s="312"/>
      <c r="B145" s="312" t="s">
        <v>160</v>
      </c>
      <c r="C145" s="312"/>
      <c r="D145" s="256">
        <v>2311686</v>
      </c>
      <c r="E145" s="21">
        <f>D145</f>
        <v>2311686</v>
      </c>
      <c r="H145" s="276" t="s">
        <v>62</v>
      </c>
      <c r="I145" s="277">
        <v>25</v>
      </c>
      <c r="J145" s="278"/>
      <c r="K145" s="279">
        <f>I145</f>
        <v>25</v>
      </c>
      <c r="L145" s="99">
        <f>K145</f>
        <v>25</v>
      </c>
    </row>
    <row r="146" spans="1:14" ht="16.5" thickBot="1">
      <c r="B146" s="167" t="s">
        <v>158</v>
      </c>
      <c r="D146" t="s">
        <v>159</v>
      </c>
      <c r="E146" s="312"/>
      <c r="H146" s="280" t="s">
        <v>21</v>
      </c>
      <c r="I146" s="281">
        <f>SUM(I136:I145)</f>
        <v>4336.1607519999998</v>
      </c>
      <c r="J146" s="282"/>
      <c r="K146" s="283">
        <f>SUM(K136:K145)</f>
        <v>3774.3332229128605</v>
      </c>
      <c r="L146" s="284">
        <f>SUM(L136:L145)</f>
        <v>3754.8605826236003</v>
      </c>
      <c r="M146" s="3">
        <f>I146-L146</f>
        <v>581.30016937639948</v>
      </c>
    </row>
    <row r="147" spans="1:14" ht="15.75">
      <c r="A147" s="312">
        <v>1</v>
      </c>
      <c r="B147" s="168" t="s">
        <v>161</v>
      </c>
      <c r="C147" s="312"/>
      <c r="D147" s="257">
        <f>D140*D141*12</f>
        <v>18122397.488454379</v>
      </c>
      <c r="E147" s="21">
        <f>(E141*F10+F11*52.16)*12</f>
        <v>12308176.223999999</v>
      </c>
      <c r="M147" t="s">
        <v>292</v>
      </c>
    </row>
    <row r="148" spans="1:14" ht="15.75" hidden="1">
      <c r="A148" s="312">
        <v>2</v>
      </c>
      <c r="B148" s="169" t="s">
        <v>162</v>
      </c>
      <c r="C148" s="312"/>
      <c r="D148" s="258"/>
      <c r="E148" s="312"/>
    </row>
    <row r="149" spans="1:14" ht="15.75">
      <c r="A149" s="312"/>
      <c r="B149" s="170"/>
      <c r="C149" s="312"/>
      <c r="D149" s="259"/>
      <c r="E149" s="312"/>
      <c r="H149" s="261" t="s">
        <v>297</v>
      </c>
      <c r="I149" s="312">
        <v>73.2</v>
      </c>
      <c r="J149" s="312"/>
      <c r="K149" s="312"/>
      <c r="L149" s="312"/>
      <c r="M149" t="s">
        <v>296</v>
      </c>
    </row>
    <row r="150" spans="1:14">
      <c r="A150" s="312"/>
      <c r="B150" s="17" t="s">
        <v>163</v>
      </c>
      <c r="C150" s="312"/>
      <c r="D150" s="256"/>
      <c r="E150" s="312"/>
      <c r="F150" t="s">
        <v>280</v>
      </c>
      <c r="H150" s="261"/>
      <c r="I150" s="312"/>
      <c r="J150" s="17" t="s">
        <v>286</v>
      </c>
      <c r="K150" s="17"/>
      <c r="L150" s="17" t="s">
        <v>286</v>
      </c>
      <c r="N150" t="s">
        <v>286</v>
      </c>
    </row>
    <row r="151" spans="1:14">
      <c r="A151" s="172">
        <v>1</v>
      </c>
      <c r="B151" s="312" t="s">
        <v>164</v>
      </c>
      <c r="C151" s="312"/>
      <c r="D151" s="256">
        <f>13.5*D140*12</f>
        <v>5399379</v>
      </c>
      <c r="E151" s="21">
        <f>(F10*F151+F11*13.5)*12</f>
        <v>14490289.388160001</v>
      </c>
      <c r="F151" s="166">
        <f>0.016*2318.59</f>
        <v>37.097440000000006</v>
      </c>
      <c r="H151" s="261" t="s">
        <v>281</v>
      </c>
      <c r="I151" s="21">
        <f>I149*E141</f>
        <v>2152.08</v>
      </c>
      <c r="J151" s="21">
        <f>-I151*0.5</f>
        <v>-1076.04</v>
      </c>
      <c r="K151" s="21">
        <f>I149*D141</f>
        <v>3316.7801701067137</v>
      </c>
      <c r="L151" s="21">
        <v>-1076</v>
      </c>
      <c r="M151" s="3">
        <f>I149*E141</f>
        <v>2152.08</v>
      </c>
      <c r="N151" s="3">
        <f>L151</f>
        <v>-1076</v>
      </c>
    </row>
    <row r="152" spans="1:14">
      <c r="A152" s="172" t="s">
        <v>165</v>
      </c>
      <c r="B152" s="312" t="s">
        <v>166</v>
      </c>
      <c r="C152" s="312"/>
      <c r="D152" s="256">
        <f>27881*78</f>
        <v>2174718</v>
      </c>
      <c r="E152" s="21">
        <f>27881*191.72</f>
        <v>5345345.32</v>
      </c>
      <c r="H152" s="261" t="s">
        <v>305</v>
      </c>
      <c r="I152" s="312"/>
      <c r="J152" s="312"/>
      <c r="K152" s="312"/>
      <c r="L152" s="312"/>
      <c r="M152" s="3">
        <f>I149*8.51</f>
        <v>622.93200000000002</v>
      </c>
      <c r="N152" s="3"/>
    </row>
    <row r="153" spans="1:14">
      <c r="A153" s="172" t="s">
        <v>167</v>
      </c>
      <c r="B153" s="312" t="s">
        <v>168</v>
      </c>
      <c r="C153" s="312"/>
      <c r="D153" s="256">
        <f>47133*38.7</f>
        <v>1824047.1</v>
      </c>
      <c r="E153" s="21">
        <f>D153</f>
        <v>1824047.1</v>
      </c>
      <c r="H153" s="261" t="s">
        <v>306</v>
      </c>
      <c r="I153" s="312"/>
      <c r="J153" s="312"/>
      <c r="K153" s="312"/>
      <c r="L153" s="312"/>
      <c r="M153" s="3">
        <f>I149*D142</f>
        <v>517.31881729069585</v>
      </c>
      <c r="N153" s="3"/>
    </row>
    <row r="154" spans="1:14">
      <c r="A154" s="172" t="s">
        <v>169</v>
      </c>
      <c r="B154" s="312" t="s">
        <v>170</v>
      </c>
      <c r="C154" s="312"/>
      <c r="D154" s="256">
        <f>75014*27.47</f>
        <v>2060634.5799999998</v>
      </c>
      <c r="E154" s="21">
        <f>D154</f>
        <v>2060634.5799999998</v>
      </c>
      <c r="H154" s="261" t="s">
        <v>282</v>
      </c>
      <c r="I154" s="21">
        <f>I149*F151</f>
        <v>2715.5326080000004</v>
      </c>
      <c r="J154" s="21">
        <f>-66*F151*0.5+(73.2-66)*F151</f>
        <v>-957.11395200000004</v>
      </c>
      <c r="K154" s="21">
        <f>I149*13.5</f>
        <v>988.2</v>
      </c>
      <c r="L154" s="21">
        <f>-66*13.5*0.5+(73.2-66)*13.5</f>
        <v>-348.29999999999995</v>
      </c>
      <c r="M154" s="3">
        <f>I149*13.5</f>
        <v>988.2</v>
      </c>
      <c r="N154" s="3">
        <f>L154</f>
        <v>-348.29999999999995</v>
      </c>
    </row>
    <row r="155" spans="1:14">
      <c r="A155" s="172" t="s">
        <v>171</v>
      </c>
      <c r="B155" s="312" t="s">
        <v>172</v>
      </c>
      <c r="C155" s="312"/>
      <c r="D155" s="256">
        <f>1338940*1.02</f>
        <v>1365718.8</v>
      </c>
      <c r="E155" s="21">
        <f>D155</f>
        <v>1365718.8</v>
      </c>
      <c r="H155" s="261" t="s">
        <v>166</v>
      </c>
      <c r="I155" s="21">
        <f>12*191.72</f>
        <v>2300.64</v>
      </c>
      <c r="J155" s="21">
        <f>-(12/6*2/2)*191.72</f>
        <v>-383.44</v>
      </c>
      <c r="K155" s="21">
        <f>12*78</f>
        <v>936</v>
      </c>
      <c r="L155" s="21">
        <f>-(12/6*2/2)*78</f>
        <v>-156</v>
      </c>
      <c r="M155" s="3">
        <f>12*78</f>
        <v>936</v>
      </c>
      <c r="N155" s="3">
        <f>L155</f>
        <v>-156</v>
      </c>
    </row>
    <row r="156" spans="1:14">
      <c r="A156" s="172" t="s">
        <v>173</v>
      </c>
      <c r="B156" s="312" t="s">
        <v>174</v>
      </c>
      <c r="C156" s="312"/>
      <c r="D156" s="256">
        <v>385913</v>
      </c>
      <c r="E156" s="21">
        <f>D156</f>
        <v>385913</v>
      </c>
      <c r="H156" s="261" t="s">
        <v>168</v>
      </c>
      <c r="I156" s="21">
        <f>20*38.7</f>
        <v>774</v>
      </c>
      <c r="J156" s="21">
        <f>-(20/6*2/2)*38.7</f>
        <v>-129.00000000000003</v>
      </c>
      <c r="K156" s="21">
        <f t="shared" ref="K156:M157" si="23">I156</f>
        <v>774</v>
      </c>
      <c r="L156" s="21">
        <f t="shared" si="23"/>
        <v>-129.00000000000003</v>
      </c>
      <c r="M156" s="3">
        <f t="shared" si="23"/>
        <v>774</v>
      </c>
      <c r="N156" s="3">
        <f>L156</f>
        <v>-129.00000000000003</v>
      </c>
    </row>
    <row r="157" spans="1:14">
      <c r="A157" s="172" t="s">
        <v>175</v>
      </c>
      <c r="B157" s="312" t="s">
        <v>176</v>
      </c>
      <c r="C157" s="312"/>
      <c r="D157" s="260">
        <v>84000</v>
      </c>
      <c r="E157" s="21">
        <f>D157</f>
        <v>84000</v>
      </c>
      <c r="H157" s="261" t="s">
        <v>283</v>
      </c>
      <c r="I157" s="21">
        <f>32*27.47</f>
        <v>879.04</v>
      </c>
      <c r="J157" s="21">
        <f>-32/6*2/2*24.47</f>
        <v>-130.50666666666666</v>
      </c>
      <c r="K157" s="21">
        <f t="shared" si="23"/>
        <v>879.04</v>
      </c>
      <c r="L157" s="21">
        <f t="shared" si="23"/>
        <v>-130.50666666666666</v>
      </c>
      <c r="M157" s="3">
        <f t="shared" si="23"/>
        <v>879.04</v>
      </c>
      <c r="N157" s="3">
        <f>L157</f>
        <v>-130.50666666666666</v>
      </c>
    </row>
    <row r="158" spans="1:14">
      <c r="A158" s="172"/>
      <c r="B158" s="312"/>
      <c r="C158" s="312"/>
      <c r="D158" s="260"/>
      <c r="E158" s="21"/>
      <c r="H158" s="261" t="s">
        <v>284</v>
      </c>
      <c r="I158" s="21">
        <v>106.8</v>
      </c>
      <c r="J158" s="21"/>
      <c r="K158" s="21">
        <f>I158</f>
        <v>106.8</v>
      </c>
      <c r="L158" s="21"/>
      <c r="M158" s="3">
        <f>K158</f>
        <v>106.8</v>
      </c>
      <c r="N158" s="3"/>
    </row>
    <row r="159" spans="1:14" ht="30">
      <c r="A159" s="172"/>
      <c r="B159" s="169" t="s">
        <v>290</v>
      </c>
      <c r="C159" s="312"/>
      <c r="D159" s="192">
        <v>147500</v>
      </c>
      <c r="E159" s="192">
        <v>147500</v>
      </c>
      <c r="H159" s="261" t="s">
        <v>285</v>
      </c>
      <c r="I159" s="21">
        <v>149</v>
      </c>
      <c r="J159" s="21"/>
      <c r="K159" s="21">
        <f>I159</f>
        <v>149</v>
      </c>
      <c r="L159" s="21"/>
      <c r="M159" s="3">
        <f>K159</f>
        <v>149</v>
      </c>
      <c r="N159" s="3"/>
    </row>
    <row r="160" spans="1:14" ht="16.5" thickBot="1">
      <c r="A160" s="172"/>
      <c r="B160" s="312" t="s">
        <v>288</v>
      </c>
      <c r="C160" s="312"/>
      <c r="D160" s="192">
        <v>200000</v>
      </c>
      <c r="E160" s="192">
        <v>200000</v>
      </c>
      <c r="H160" s="285" t="s">
        <v>62</v>
      </c>
      <c r="I160" s="278">
        <v>25</v>
      </c>
      <c r="J160" s="278"/>
      <c r="K160" s="278">
        <f>I160</f>
        <v>25</v>
      </c>
      <c r="L160" s="278"/>
      <c r="M160">
        <v>25</v>
      </c>
    </row>
    <row r="161" spans="1:14" ht="42.75" thickBot="1">
      <c r="A161" s="172"/>
      <c r="B161" s="169" t="s">
        <v>289</v>
      </c>
      <c r="C161" s="312"/>
      <c r="D161" s="192">
        <f>11500*12</f>
        <v>138000</v>
      </c>
      <c r="E161" s="192">
        <f>11500*12</f>
        <v>138000</v>
      </c>
      <c r="H161" s="286" t="s">
        <v>21</v>
      </c>
      <c r="I161" s="282">
        <f>SUM(I151:I160)</f>
        <v>9102.092607999999</v>
      </c>
      <c r="J161" s="282">
        <f>I161+J151+J154+J155+J156+J157</f>
        <v>6425.9919893333335</v>
      </c>
      <c r="K161" s="282">
        <f>SUM(K151:K160)</f>
        <v>7174.8201701067137</v>
      </c>
      <c r="L161" s="283">
        <f>K161+L151+L154+L155+L156+L157</f>
        <v>5335.0135034400464</v>
      </c>
      <c r="M161" s="1033">
        <f>M151+M152+M153+M154+M155+M156+M157+M158+M159+N151+N154+N155+N156+N157+M160</f>
        <v>5310.5641506240281</v>
      </c>
      <c r="N161" s="1034"/>
    </row>
    <row r="162" spans="1:14" s="173" customFormat="1" ht="15.75">
      <c r="A162" s="170"/>
      <c r="B162" s="170" t="s">
        <v>177</v>
      </c>
      <c r="C162" s="170"/>
      <c r="D162" s="171">
        <f>SUM(D147:D161)</f>
        <v>31902307.96845438</v>
      </c>
      <c r="E162" s="171">
        <f>SUM(E147:E161)</f>
        <v>38349624.412159994</v>
      </c>
      <c r="H162" s="5"/>
      <c r="I162"/>
      <c r="J162"/>
      <c r="K162"/>
      <c r="L162"/>
      <c r="M162" s="310">
        <f>J161-M161</f>
        <v>1115.4278387093054</v>
      </c>
    </row>
    <row r="164" spans="1:14" ht="15.75">
      <c r="A164" s="312"/>
      <c r="B164" s="174" t="s">
        <v>178</v>
      </c>
      <c r="C164" s="312" t="s">
        <v>179</v>
      </c>
      <c r="D164" s="312" t="s">
        <v>180</v>
      </c>
      <c r="E164" s="312"/>
      <c r="M164" s="3"/>
    </row>
    <row r="165" spans="1:14" ht="36" customHeight="1">
      <c r="A165" s="312"/>
      <c r="B165" s="175" t="s">
        <v>181</v>
      </c>
      <c r="C165" s="312"/>
      <c r="D165" s="171">
        <f>D95</f>
        <v>18271761.343000002</v>
      </c>
      <c r="E165" s="21">
        <f>D95</f>
        <v>18271761.343000002</v>
      </c>
    </row>
    <row r="166" spans="1:14" ht="16.5" hidden="1" customHeight="1">
      <c r="A166" s="312"/>
      <c r="B166" s="175" t="s">
        <v>182</v>
      </c>
      <c r="C166" s="312"/>
      <c r="D166" s="171"/>
      <c r="E166" s="312"/>
    </row>
    <row r="167" spans="1:14">
      <c r="A167" s="312"/>
      <c r="B167" s="17" t="s">
        <v>183</v>
      </c>
      <c r="C167" s="312"/>
      <c r="D167" s="165"/>
      <c r="E167" s="312"/>
    </row>
    <row r="168" spans="1:14">
      <c r="A168" s="312">
        <v>1</v>
      </c>
      <c r="B168" s="312" t="s">
        <v>273</v>
      </c>
      <c r="C168" s="21">
        <v>1131730.8631018416</v>
      </c>
      <c r="D168" s="21">
        <v>5701286</v>
      </c>
      <c r="E168" s="21">
        <f t="shared" ref="E168:E175" si="24">D168</f>
        <v>5701286</v>
      </c>
    </row>
    <row r="169" spans="1:14">
      <c r="A169" s="312"/>
      <c r="B169" s="240" t="s">
        <v>184</v>
      </c>
      <c r="C169" s="21">
        <v>90925.338325991193</v>
      </c>
      <c r="D169" s="21">
        <v>412801.03600000002</v>
      </c>
      <c r="E169" s="21">
        <f t="shared" si="24"/>
        <v>412801.03600000002</v>
      </c>
    </row>
    <row r="170" spans="1:14">
      <c r="A170" s="312">
        <v>2</v>
      </c>
      <c r="B170" s="312" t="s">
        <v>185</v>
      </c>
      <c r="C170" s="21">
        <v>1222656.2014278329</v>
      </c>
      <c r="D170" s="21">
        <f>81262*1.03</f>
        <v>83699.86</v>
      </c>
      <c r="E170" s="21">
        <f t="shared" si="24"/>
        <v>83699.86</v>
      </c>
    </row>
    <row r="171" spans="1:14">
      <c r="A171" s="312">
        <v>3</v>
      </c>
      <c r="B171" s="312" t="s">
        <v>186</v>
      </c>
      <c r="C171" s="312">
        <v>75014</v>
      </c>
      <c r="D171" s="21">
        <f>C171*38.7</f>
        <v>2903041.8000000003</v>
      </c>
      <c r="E171" s="21">
        <f t="shared" si="24"/>
        <v>2903041.8000000003</v>
      </c>
    </row>
    <row r="172" spans="1:14">
      <c r="A172" s="312">
        <v>4</v>
      </c>
      <c r="B172" s="312" t="s">
        <v>187</v>
      </c>
      <c r="C172" s="312">
        <v>75014</v>
      </c>
      <c r="D172" s="21">
        <f>C172*27.47</f>
        <v>2060634.5799999998</v>
      </c>
      <c r="E172" s="21">
        <f t="shared" si="24"/>
        <v>2060634.5799999998</v>
      </c>
    </row>
    <row r="173" spans="1:14">
      <c r="A173" s="312">
        <v>5</v>
      </c>
      <c r="B173" s="312" t="s">
        <v>188</v>
      </c>
      <c r="C173" s="312"/>
      <c r="D173" s="21">
        <f>687074*1.02</f>
        <v>700815.48</v>
      </c>
      <c r="E173" s="21">
        <f t="shared" si="24"/>
        <v>700815.48</v>
      </c>
    </row>
    <row r="174" spans="1:14">
      <c r="A174" s="312">
        <v>6</v>
      </c>
      <c r="B174" s="312" t="s">
        <v>189</v>
      </c>
      <c r="C174" s="312"/>
      <c r="D174" s="21">
        <f>1338940*1.02</f>
        <v>1365718.8</v>
      </c>
      <c r="E174" s="21">
        <f t="shared" si="24"/>
        <v>1365718.8</v>
      </c>
    </row>
    <row r="175" spans="1:14" ht="15.75">
      <c r="A175" s="312">
        <v>7</v>
      </c>
      <c r="B175" s="312" t="s">
        <v>190</v>
      </c>
      <c r="C175" s="312"/>
      <c r="D175" s="21">
        <v>385913</v>
      </c>
      <c r="E175" s="21">
        <f t="shared" si="24"/>
        <v>385913</v>
      </c>
      <c r="H175" s="173"/>
      <c r="I175" s="173"/>
      <c r="J175" s="173"/>
      <c r="K175" s="173"/>
      <c r="L175" s="173"/>
    </row>
    <row r="176" spans="1:14">
      <c r="A176" s="312"/>
      <c r="B176" s="312"/>
      <c r="C176" s="312"/>
      <c r="D176" s="21"/>
      <c r="E176" s="21"/>
    </row>
    <row r="177" spans="1:12">
      <c r="A177" s="312"/>
      <c r="B177" s="312" t="s">
        <v>287</v>
      </c>
      <c r="C177" s="312"/>
      <c r="D177" s="21">
        <v>485500</v>
      </c>
      <c r="E177" s="21">
        <v>485500</v>
      </c>
    </row>
    <row r="178" spans="1:12" ht="18.75">
      <c r="A178" s="312"/>
      <c r="B178" s="312"/>
      <c r="C178" s="312"/>
      <c r="D178" s="21"/>
      <c r="E178" s="21"/>
      <c r="H178" s="176"/>
      <c r="I178" s="176"/>
      <c r="J178" s="176"/>
      <c r="K178" s="176"/>
      <c r="L178" s="176"/>
    </row>
    <row r="179" spans="1:12" s="173" customFormat="1" ht="15.75">
      <c r="A179" s="170"/>
      <c r="B179" s="170" t="s">
        <v>191</v>
      </c>
      <c r="C179" s="170"/>
      <c r="D179" s="171">
        <f>D168+D170+D171+D172+D173+D174+D175+D165+D177</f>
        <v>31958370.863000005</v>
      </c>
      <c r="E179" s="171">
        <f>E175+E174+E173+E172+E171+E170+E168+E165+E177</f>
        <v>31958370.863000002</v>
      </c>
      <c r="H179" s="5"/>
      <c r="I179"/>
      <c r="J179"/>
      <c r="K179"/>
      <c r="L179"/>
    </row>
    <row r="180" spans="1:12">
      <c r="H180" s="184"/>
      <c r="I180" s="50"/>
      <c r="J180" s="50"/>
      <c r="K180" s="50"/>
      <c r="L180" s="50"/>
    </row>
    <row r="181" spans="1:12">
      <c r="H181" s="184"/>
      <c r="I181" s="50"/>
      <c r="J181" s="50"/>
      <c r="K181" s="50"/>
      <c r="L181" s="50"/>
    </row>
    <row r="182" spans="1:12" s="176" customFormat="1" ht="79.5" hidden="1">
      <c r="B182" s="176" t="s">
        <v>192</v>
      </c>
      <c r="C182" s="177" t="s">
        <v>193</v>
      </c>
      <c r="D182" s="177" t="s">
        <v>194</v>
      </c>
      <c r="E182" s="177" t="s">
        <v>195</v>
      </c>
      <c r="F182" s="177" t="s">
        <v>196</v>
      </c>
      <c r="H182" s="184"/>
      <c r="I182" s="50"/>
      <c r="J182" s="50"/>
      <c r="K182" s="50"/>
      <c r="L182" s="50"/>
    </row>
    <row r="183" spans="1:12" ht="15.75" hidden="1" thickBot="1">
      <c r="B183" s="178" t="s">
        <v>197</v>
      </c>
      <c r="C183" s="178"/>
      <c r="D183" s="179">
        <v>38</v>
      </c>
      <c r="E183" s="180">
        <v>51</v>
      </c>
      <c r="F183" s="179">
        <v>73</v>
      </c>
      <c r="H183" s="184"/>
      <c r="I183" s="50"/>
      <c r="J183" s="50"/>
      <c r="K183" s="50"/>
      <c r="L183" s="50"/>
    </row>
    <row r="184" spans="1:12" s="50" customFormat="1" ht="31.5" hidden="1" customHeight="1">
      <c r="B184" s="181" t="s">
        <v>198</v>
      </c>
      <c r="C184" s="182">
        <f>F22</f>
        <v>45.311204509654551</v>
      </c>
      <c r="D184" s="183">
        <f>$C184*D183</f>
        <v>1721.8257713668729</v>
      </c>
      <c r="E184" s="183">
        <f>$C184*E183</f>
        <v>2310.8714299923822</v>
      </c>
      <c r="F184" s="183">
        <f>$C184*F183</f>
        <v>3307.7179292047822</v>
      </c>
      <c r="H184" s="184"/>
    </row>
    <row r="185" spans="1:12" s="50" customFormat="1" hidden="1">
      <c r="B185" s="181" t="s">
        <v>199</v>
      </c>
      <c r="C185" s="50">
        <v>13.5</v>
      </c>
      <c r="D185" s="183">
        <f>$C185*D183</f>
        <v>513</v>
      </c>
      <c r="E185" s="183">
        <f>$C185*E183</f>
        <v>688.5</v>
      </c>
      <c r="F185" s="183">
        <f>$C185*F183</f>
        <v>985.5</v>
      </c>
      <c r="H185" s="184"/>
    </row>
    <row r="186" spans="1:12" s="50" customFormat="1" hidden="1">
      <c r="B186" s="181" t="s">
        <v>200</v>
      </c>
      <c r="C186" s="50">
        <v>78</v>
      </c>
      <c r="D186" s="183">
        <f>$D187*C186</f>
        <v>156</v>
      </c>
      <c r="E186" s="183">
        <f t="shared" ref="E186:F186" si="25">$D187*D186</f>
        <v>312</v>
      </c>
      <c r="F186" s="183">
        <f t="shared" si="25"/>
        <v>624</v>
      </c>
      <c r="H186" s="184"/>
    </row>
    <row r="187" spans="1:12" s="50" customFormat="1" hidden="1">
      <c r="B187" s="50" t="s">
        <v>201</v>
      </c>
      <c r="D187" s="183">
        <v>2</v>
      </c>
      <c r="E187" s="183">
        <v>4</v>
      </c>
      <c r="F187" s="183">
        <v>6</v>
      </c>
      <c r="H187" s="184"/>
    </row>
    <row r="188" spans="1:12" s="50" customFormat="1" hidden="1">
      <c r="B188" s="181" t="s">
        <v>202</v>
      </c>
      <c r="C188" s="50">
        <v>38.06</v>
      </c>
      <c r="D188" s="183">
        <f>$C188*D189</f>
        <v>152.24</v>
      </c>
      <c r="E188" s="183">
        <f t="shared" ref="E188:F188" si="26">$C188*E189</f>
        <v>304.48</v>
      </c>
      <c r="F188" s="183">
        <f t="shared" si="26"/>
        <v>456.72</v>
      </c>
      <c r="H188" s="184"/>
    </row>
    <row r="189" spans="1:12" s="50" customFormat="1" hidden="1">
      <c r="B189" s="50" t="s">
        <v>203</v>
      </c>
      <c r="D189" s="183">
        <v>4</v>
      </c>
      <c r="E189" s="183">
        <v>8</v>
      </c>
      <c r="F189" s="183">
        <v>12</v>
      </c>
      <c r="H189" s="184"/>
    </row>
    <row r="190" spans="1:12" s="50" customFormat="1" hidden="1">
      <c r="B190" s="181" t="s">
        <v>170</v>
      </c>
      <c r="C190" s="50">
        <v>27.01</v>
      </c>
      <c r="D190" s="183">
        <f>$C190*D191</f>
        <v>162.06</v>
      </c>
      <c r="E190" s="183">
        <f t="shared" ref="E190:F190" si="27">$C190*E191</f>
        <v>324.12</v>
      </c>
      <c r="F190" s="183">
        <f t="shared" si="27"/>
        <v>486.18</v>
      </c>
      <c r="H190" s="184"/>
    </row>
    <row r="191" spans="1:12" s="50" customFormat="1" hidden="1">
      <c r="B191" s="185" t="s">
        <v>204</v>
      </c>
      <c r="D191" s="183">
        <f>D189+D187</f>
        <v>6</v>
      </c>
      <c r="E191" s="183">
        <f t="shared" ref="E191:F191" si="28">E189+E187</f>
        <v>12</v>
      </c>
      <c r="F191" s="183">
        <f t="shared" si="28"/>
        <v>18</v>
      </c>
      <c r="H191" s="184"/>
    </row>
    <row r="192" spans="1:12" s="50" customFormat="1" hidden="1">
      <c r="B192" s="181" t="s">
        <v>62</v>
      </c>
      <c r="C192" s="50">
        <v>25</v>
      </c>
      <c r="D192" s="183">
        <f>C192</f>
        <v>25</v>
      </c>
      <c r="E192" s="183">
        <f t="shared" ref="E192:F194" si="29">D192</f>
        <v>25</v>
      </c>
      <c r="F192" s="183">
        <f t="shared" si="29"/>
        <v>25</v>
      </c>
      <c r="H192" s="5"/>
      <c r="I192"/>
      <c r="J192"/>
      <c r="K192"/>
      <c r="L192"/>
    </row>
    <row r="193" spans="2:12" s="50" customFormat="1" ht="18.75" hidden="1">
      <c r="B193" s="181" t="s">
        <v>205</v>
      </c>
      <c r="C193" s="50">
        <v>149</v>
      </c>
      <c r="D193" s="183">
        <f>C193</f>
        <v>149</v>
      </c>
      <c r="E193" s="183">
        <f t="shared" si="29"/>
        <v>149</v>
      </c>
      <c r="F193" s="183">
        <f t="shared" si="29"/>
        <v>149</v>
      </c>
      <c r="H193" s="176"/>
      <c r="I193" s="176"/>
      <c r="J193" s="176"/>
      <c r="K193" s="176"/>
      <c r="L193" s="176"/>
    </row>
    <row r="194" spans="2:12" s="50" customFormat="1" hidden="1">
      <c r="B194" s="181" t="s">
        <v>206</v>
      </c>
      <c r="C194" s="50">
        <v>105.02</v>
      </c>
      <c r="D194" s="183">
        <f>C194</f>
        <v>105.02</v>
      </c>
      <c r="E194" s="183">
        <f t="shared" si="29"/>
        <v>105.02</v>
      </c>
      <c r="F194" s="183">
        <f t="shared" si="29"/>
        <v>105.02</v>
      </c>
      <c r="H194" s="5"/>
      <c r="I194"/>
      <c r="J194"/>
      <c r="K194"/>
      <c r="L194"/>
    </row>
    <row r="195" spans="2:12" s="50" customFormat="1" ht="15.75" hidden="1">
      <c r="B195" s="186" t="s">
        <v>21</v>
      </c>
      <c r="C195" s="186"/>
      <c r="D195" s="187">
        <f>D194+D193+D192+D190+D188+D186+D185+D184</f>
        <v>2984.1457713668729</v>
      </c>
      <c r="E195" s="187">
        <f t="shared" ref="E195" si="30">E194+E193+E192+E190+E188+E186+E185+E184</f>
        <v>4218.9914299923821</v>
      </c>
      <c r="F195" s="187">
        <f>F194+F193+F192+F190+F188+F186+F185+F184</f>
        <v>6139.1379292047823</v>
      </c>
      <c r="H195" s="184"/>
    </row>
    <row r="196" spans="2:12" hidden="1">
      <c r="H196" s="184"/>
      <c r="I196" s="50"/>
      <c r="J196" s="50"/>
      <c r="K196" s="50"/>
      <c r="L196" s="50"/>
    </row>
    <row r="197" spans="2:12" s="176" customFormat="1" ht="79.5" hidden="1">
      <c r="B197" s="176" t="s">
        <v>207</v>
      </c>
      <c r="C197" s="177" t="s">
        <v>193</v>
      </c>
      <c r="D197" s="177" t="s">
        <v>194</v>
      </c>
      <c r="E197" s="177" t="s">
        <v>195</v>
      </c>
      <c r="F197" s="177" t="s">
        <v>196</v>
      </c>
      <c r="H197" s="184"/>
      <c r="I197" s="50"/>
      <c r="J197" s="50"/>
      <c r="K197" s="50"/>
      <c r="L197" s="50"/>
    </row>
    <row r="198" spans="2:12" ht="15.75" hidden="1" thickBot="1">
      <c r="B198" s="178" t="s">
        <v>197</v>
      </c>
      <c r="C198" s="178"/>
      <c r="D198" s="179">
        <v>38</v>
      </c>
      <c r="E198" s="180">
        <v>51</v>
      </c>
      <c r="F198" s="179">
        <v>73</v>
      </c>
      <c r="H198" s="184"/>
      <c r="I198" s="50"/>
      <c r="J198" s="50"/>
      <c r="K198" s="50"/>
      <c r="L198" s="50"/>
    </row>
    <row r="199" spans="2:12" s="50" customFormat="1" ht="19.5" hidden="1" customHeight="1">
      <c r="B199" s="181" t="s">
        <v>208</v>
      </c>
      <c r="C199" s="182"/>
      <c r="D199" s="183"/>
      <c r="E199" s="183"/>
      <c r="F199" s="183"/>
      <c r="H199" s="184"/>
    </row>
    <row r="200" spans="2:12" s="50" customFormat="1" ht="18" hidden="1" customHeight="1">
      <c r="B200" s="181" t="s">
        <v>209</v>
      </c>
      <c r="C200" s="182" t="e">
        <f>F22-F25-#REF!</f>
        <v>#REF!</v>
      </c>
      <c r="D200" s="183" t="e">
        <f>$C200*D198</f>
        <v>#REF!</v>
      </c>
      <c r="E200" s="183" t="e">
        <f t="shared" ref="E200:F200" si="31">$C200*E198</f>
        <v>#REF!</v>
      </c>
      <c r="F200" s="183" t="e">
        <f t="shared" si="31"/>
        <v>#REF!</v>
      </c>
      <c r="H200" s="184"/>
    </row>
    <row r="201" spans="2:12" s="50" customFormat="1" ht="31.5" hidden="1" customHeight="1">
      <c r="B201" s="181" t="s">
        <v>210</v>
      </c>
      <c r="C201" s="182">
        <f>F25</f>
        <v>6.0207007854176968</v>
      </c>
      <c r="D201" s="183">
        <f>$C201*D198</f>
        <v>228.78662984587248</v>
      </c>
      <c r="E201" s="183">
        <f t="shared" ref="E201:F201" si="32">$C201*E198</f>
        <v>307.05574005630251</v>
      </c>
      <c r="F201" s="183">
        <f t="shared" si="32"/>
        <v>439.51115733549187</v>
      </c>
      <c r="H201" s="184"/>
    </row>
    <row r="202" spans="2:12" s="50" customFormat="1" hidden="1">
      <c r="B202" s="181" t="s">
        <v>199</v>
      </c>
      <c r="C202" s="50">
        <v>13.5</v>
      </c>
      <c r="D202" s="183">
        <f>$C202*D198</f>
        <v>513</v>
      </c>
      <c r="E202" s="183">
        <f>$C202*E198</f>
        <v>688.5</v>
      </c>
      <c r="F202" s="183">
        <f>$C202*F198</f>
        <v>985.5</v>
      </c>
      <c r="H202" s="184"/>
    </row>
    <row r="203" spans="2:12" s="50" customFormat="1" hidden="1">
      <c r="B203" s="181" t="s">
        <v>200</v>
      </c>
      <c r="C203" s="50">
        <v>78</v>
      </c>
      <c r="D203" s="183">
        <f>$D204*C203</f>
        <v>156</v>
      </c>
      <c r="E203" s="183">
        <f t="shared" ref="E203:F203" si="33">$D204*D203</f>
        <v>312</v>
      </c>
      <c r="F203" s="183">
        <f t="shared" si="33"/>
        <v>624</v>
      </c>
      <c r="H203" s="184"/>
    </row>
    <row r="204" spans="2:12" s="50" customFormat="1" hidden="1">
      <c r="B204" s="50" t="s">
        <v>201</v>
      </c>
      <c r="D204" s="183">
        <v>2</v>
      </c>
      <c r="E204" s="183">
        <v>4</v>
      </c>
      <c r="F204" s="183">
        <v>6</v>
      </c>
      <c r="H204" s="184"/>
    </row>
    <row r="205" spans="2:12" s="50" customFormat="1" hidden="1">
      <c r="B205" s="181" t="s">
        <v>202</v>
      </c>
      <c r="C205" s="50">
        <v>38.06</v>
      </c>
      <c r="D205" s="183">
        <f>$C205*D206</f>
        <v>152.24</v>
      </c>
      <c r="E205" s="183">
        <f t="shared" ref="E205:F205" si="34">$C205*E206</f>
        <v>304.48</v>
      </c>
      <c r="F205" s="183">
        <f t="shared" si="34"/>
        <v>456.72</v>
      </c>
      <c r="H205" s="184"/>
    </row>
    <row r="206" spans="2:12" s="50" customFormat="1" hidden="1">
      <c r="B206" s="50" t="s">
        <v>203</v>
      </c>
      <c r="D206" s="183">
        <v>4</v>
      </c>
      <c r="E206" s="183">
        <v>8</v>
      </c>
      <c r="F206" s="183">
        <v>12</v>
      </c>
      <c r="H206" s="184"/>
    </row>
    <row r="207" spans="2:12" s="50" customFormat="1" hidden="1">
      <c r="B207" s="181" t="s">
        <v>170</v>
      </c>
      <c r="C207" s="50">
        <v>27.01</v>
      </c>
      <c r="D207" s="183">
        <f>$C207*D208</f>
        <v>162.06</v>
      </c>
      <c r="E207" s="183">
        <f t="shared" ref="E207:F207" si="35">$C207*E208</f>
        <v>324.12</v>
      </c>
      <c r="F207" s="183">
        <f t="shared" si="35"/>
        <v>486.18</v>
      </c>
      <c r="H207" s="184"/>
    </row>
    <row r="208" spans="2:12" s="50" customFormat="1" hidden="1">
      <c r="B208" s="185" t="s">
        <v>204</v>
      </c>
      <c r="D208" s="183">
        <f>D206+D204</f>
        <v>6</v>
      </c>
      <c r="E208" s="183">
        <f t="shared" ref="E208:F208" si="36">E206+E204</f>
        <v>12</v>
      </c>
      <c r="F208" s="183">
        <f t="shared" si="36"/>
        <v>18</v>
      </c>
      <c r="H208" s="184"/>
    </row>
    <row r="209" spans="2:12" s="50" customFormat="1" hidden="1">
      <c r="B209" s="181" t="s">
        <v>62</v>
      </c>
      <c r="C209" s="50">
        <v>25</v>
      </c>
      <c r="D209" s="183">
        <f>C209</f>
        <v>25</v>
      </c>
      <c r="E209" s="183">
        <f t="shared" ref="E209:F211" si="37">D209</f>
        <v>25</v>
      </c>
      <c r="F209" s="183">
        <f t="shared" si="37"/>
        <v>25</v>
      </c>
      <c r="H209" s="184"/>
    </row>
    <row r="210" spans="2:12" s="50" customFormat="1" hidden="1">
      <c r="B210" s="181" t="s">
        <v>205</v>
      </c>
      <c r="C210" s="50">
        <v>149</v>
      </c>
      <c r="D210" s="183">
        <f>C210</f>
        <v>149</v>
      </c>
      <c r="E210" s="183">
        <f t="shared" si="37"/>
        <v>149</v>
      </c>
      <c r="F210" s="183">
        <f t="shared" si="37"/>
        <v>149</v>
      </c>
      <c r="H210" s="5"/>
      <c r="I210"/>
      <c r="J210"/>
      <c r="K210"/>
      <c r="L210"/>
    </row>
    <row r="211" spans="2:12" s="50" customFormat="1" hidden="1">
      <c r="B211" s="181" t="s">
        <v>206</v>
      </c>
      <c r="C211" s="50">
        <v>105.02</v>
      </c>
      <c r="D211" s="183">
        <f>C211</f>
        <v>105.02</v>
      </c>
      <c r="E211" s="183">
        <f t="shared" si="37"/>
        <v>105.02</v>
      </c>
      <c r="F211" s="183">
        <f t="shared" si="37"/>
        <v>105.02</v>
      </c>
      <c r="H211" s="5"/>
      <c r="I211"/>
      <c r="J211"/>
      <c r="K211"/>
      <c r="L211"/>
    </row>
    <row r="212" spans="2:12" s="50" customFormat="1" hidden="1">
      <c r="B212" s="181" t="s">
        <v>211</v>
      </c>
      <c r="C212" s="188" t="e">
        <f>#REF!</f>
        <v>#REF!</v>
      </c>
      <c r="D212" s="183" t="e">
        <f>$C212*D198</f>
        <v>#REF!</v>
      </c>
      <c r="E212" s="183" t="e">
        <f t="shared" ref="E212:F212" si="38">$C212*E198</f>
        <v>#REF!</v>
      </c>
      <c r="F212" s="183" t="e">
        <f t="shared" si="38"/>
        <v>#REF!</v>
      </c>
      <c r="H212" s="5"/>
      <c r="I212"/>
      <c r="J212"/>
      <c r="K212"/>
      <c r="L212"/>
    </row>
    <row r="213" spans="2:12" s="50" customFormat="1" ht="15.75" hidden="1">
      <c r="B213" s="186" t="s">
        <v>21</v>
      </c>
      <c r="C213" s="186"/>
      <c r="D213" s="187" t="e">
        <f>D212+D211+D210+D209+D207+D205+D203+D202+D201+D200</f>
        <v>#REF!</v>
      </c>
      <c r="E213" s="187" t="e">
        <f t="shared" ref="E213:F213" si="39">E212+E211+E210+E209+E207+E205+E203+E202+E201+E200</f>
        <v>#REF!</v>
      </c>
      <c r="F213" s="187" t="e">
        <f t="shared" si="39"/>
        <v>#REF!</v>
      </c>
      <c r="H213" s="5"/>
      <c r="I213"/>
      <c r="J213"/>
      <c r="K213"/>
      <c r="L213"/>
    </row>
  </sheetData>
  <autoFilter ref="A24:K97"/>
  <mergeCells count="9">
    <mergeCell ref="A141:B141"/>
    <mergeCell ref="A142:B142"/>
    <mergeCell ref="M161:N161"/>
    <mergeCell ref="D10:E10"/>
    <mergeCell ref="D12:E12"/>
    <mergeCell ref="D13:E13"/>
    <mergeCell ref="E72:H73"/>
    <mergeCell ref="A133:H133"/>
    <mergeCell ref="I133:K133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Смета2019_290419</vt:lpstr>
      <vt:lpstr>Смета2019_290419 (СОИР_29.4)</vt:lpstr>
      <vt:lpstr>Смета2019_290419(ТО котельных )</vt:lpstr>
      <vt:lpstr>Смета2019_290419(Фонд текущего)</vt:lpstr>
      <vt:lpstr>Смета 2019 к голосованию</vt:lpstr>
      <vt:lpstr>Смета2019 эксперим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2019-05-24T11:37:46Z</cp:lastPrinted>
  <dcterms:created xsi:type="dcterms:W3CDTF">2019-02-13T13:56:59Z</dcterms:created>
  <dcterms:modified xsi:type="dcterms:W3CDTF">2019-05-28T18:25:19Z</dcterms:modified>
</cp:coreProperties>
</file>